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isa.wren\Desktop\"/>
    </mc:Choice>
  </mc:AlternateContent>
  <xr:revisionPtr revIDLastSave="0" documentId="8_{F3AD1F8B-E711-440D-9975-8205A4CB205D}" xr6:coauthVersionLast="36" xr6:coauthVersionMax="36" xr10:uidLastSave="{00000000-0000-0000-0000-000000000000}"/>
  <bookViews>
    <workbookView xWindow="1395" yWindow="180" windowWidth="13080" windowHeight="11385" tabRatio="838" xr2:uid="{00000000-000D-0000-FFFF-FFFF00000000}"/>
  </bookViews>
  <sheets>
    <sheet name="Amounts" sheetId="31" r:id="rId1"/>
    <sheet name="K " sheetId="9" r:id="rId2"/>
    <sheet name="1-3 " sheetId="10" r:id="rId3"/>
    <sheet name="4-6" sheetId="14" r:id="rId4"/>
    <sheet name="7-8 " sheetId="11" r:id="rId5"/>
    <sheet name="9-12 " sheetId="12" r:id="rId6"/>
    <sheet name="Special Ed (Simplified)" sheetId="21" r:id="rId7"/>
    <sheet name="Special Ed (Goal)" sheetId="15" r:id="rId8"/>
    <sheet name="Other Spec" sheetId="17" r:id="rId9"/>
    <sheet name="Inst. Support " sheetId="23" r:id="rId10"/>
    <sheet name="Health" sheetId="24" r:id="rId11"/>
    <sheet name="Sch Admin" sheetId="25" r:id="rId12"/>
    <sheet name="Mtrl &amp; Tech" sheetId="39" r:id="rId13"/>
    <sheet name="Total Inst. Cost" sheetId="20" r:id="rId14"/>
    <sheet name="Facilities" sheetId="27" r:id="rId15"/>
    <sheet name="District Services" sheetId="26" r:id="rId16"/>
    <sheet name="Inst. Staff Counts" sheetId="32" r:id="rId17"/>
    <sheet name="Model-Summary" sheetId="28" r:id="rId18"/>
    <sheet name="Option 1" sheetId="37" r:id="rId19"/>
    <sheet name="Option 2" sheetId="45" r:id="rId20"/>
    <sheet name="Option 3" sheetId="46" r:id="rId21"/>
    <sheet name="Option 4" sheetId="33" r:id="rId22"/>
    <sheet name="ITA" sheetId="29" r:id="rId23"/>
    <sheet name="FY 19 State Pmt" sheetId="35" r:id="rId24"/>
    <sheet name="FY 19 State Pmt (Opt 3)" sheetId="48" r:id="rId25"/>
    <sheet name="Prop Tax" sheetId="36" r:id="rId26"/>
  </sheets>
  <definedNames>
    <definedName name="_xlnm.Print_Area" localSheetId="5">'9-12 '!$A$1:$K$96</definedName>
    <definedName name="_xlnm.Print_Area" localSheetId="0">Amounts!$A$1:$J$78</definedName>
    <definedName name="_xlnm.Print_Area" localSheetId="15">'District Services'!$A$1:$K$95</definedName>
    <definedName name="_xlnm.Print_Area" localSheetId="14">Facilities!$A$1:$J$96</definedName>
    <definedName name="_xlnm.Print_Area" localSheetId="16">'Inst. Staff Counts'!$A$1:$Y$92</definedName>
    <definedName name="_xlnm.Print_Area" localSheetId="19">'Option 2'!$A$1:$AC$91</definedName>
    <definedName name="_xlnm.Print_Area" localSheetId="11">'Sch Admin'!$A$1:$H$96</definedName>
    <definedName name="_xlnm.Print_Titles" localSheetId="2">'1-3 '!$10:$13</definedName>
    <definedName name="_xlnm.Print_Titles" localSheetId="3">'4-6'!$10:$14</definedName>
    <definedName name="_xlnm.Print_Titles" localSheetId="4">'7-8 '!$10:$14</definedName>
    <definedName name="_xlnm.Print_Titles" localSheetId="5">'9-12 '!$10:$14</definedName>
    <definedName name="_xlnm.Print_Titles" localSheetId="15">'District Services'!$10:$13</definedName>
    <definedName name="_xlnm.Print_Titles" localSheetId="14">Facilities!$11:$14</definedName>
    <definedName name="_xlnm.Print_Titles" localSheetId="23">'FY 19 State Pmt'!$A:$A,'FY 19 State Pmt'!$2:$5</definedName>
    <definedName name="_xlnm.Print_Titles" localSheetId="10">Health!$11:$13</definedName>
    <definedName name="_xlnm.Print_Titles" localSheetId="16">'Inst. Staff Counts'!$3:$5</definedName>
    <definedName name="_xlnm.Print_Titles" localSheetId="9">'Inst. Support '!$11:$13</definedName>
    <definedName name="_xlnm.Print_Titles" localSheetId="22">ITA!$3:$4</definedName>
    <definedName name="_xlnm.Print_Titles" localSheetId="1">'K '!$10:$14</definedName>
    <definedName name="_xlnm.Print_Titles" localSheetId="17">'Model-Summary'!$2:$6</definedName>
    <definedName name="_xlnm.Print_Titles" localSheetId="12">'Mtrl &amp; Tech'!$9:$12</definedName>
    <definedName name="_xlnm.Print_Titles" localSheetId="18">'Option 1'!$2:$6</definedName>
    <definedName name="_xlnm.Print_Titles" localSheetId="19">'Option 2'!$A:$A,'Option 2'!$2:$6</definedName>
    <definedName name="_xlnm.Print_Titles" localSheetId="20">'Option 3'!$2:$6</definedName>
    <definedName name="_xlnm.Print_Titles" localSheetId="21">'Option 4'!$A:$A,'Option 4'!$2:$6</definedName>
    <definedName name="_xlnm.Print_Titles" localSheetId="8">'Other Spec'!$10:$14</definedName>
    <definedName name="_xlnm.Print_Titles" localSheetId="11">'Sch Admin'!$11:$14</definedName>
    <definedName name="_xlnm.Print_Titles" localSheetId="7">'Special Ed (Goal)'!$10:$14</definedName>
    <definedName name="_xlnm.Print_Titles" localSheetId="6">'Special Ed (Simplified)'!$10:$14</definedName>
    <definedName name="_xlnm.Print_Titles" localSheetId="13">'Total Inst. Cost'!$3:$4</definedName>
    <definedName name="solver_adj" localSheetId="17" hidden="1">'Model-Summary'!$I$6</definedName>
    <definedName name="solver_adj" localSheetId="18" hidden="1">'Option 1'!$N$6</definedName>
    <definedName name="solver_adj" localSheetId="19" hidden="1">'Option 2'!$P$6</definedName>
    <definedName name="solver_adj" localSheetId="20" hidden="1">'Option 3'!$N$6</definedName>
    <definedName name="solver_adj" localSheetId="21" hidden="1">'Option 4'!$I$6</definedName>
    <definedName name="solver_cvg" localSheetId="17" hidden="1">0.0001</definedName>
    <definedName name="solver_cvg" localSheetId="18" hidden="1">0.0001</definedName>
    <definedName name="solver_cvg" localSheetId="19" hidden="1">0.0001</definedName>
    <definedName name="solver_cvg" localSheetId="20" hidden="1">0.0001</definedName>
    <definedName name="solver_cvg" localSheetId="21" hidden="1">0.0001</definedName>
    <definedName name="solver_drv" localSheetId="17" hidden="1">1</definedName>
    <definedName name="solver_drv" localSheetId="18" hidden="1">1</definedName>
    <definedName name="solver_drv" localSheetId="19" hidden="1">1</definedName>
    <definedName name="solver_drv" localSheetId="20" hidden="1">1</definedName>
    <definedName name="solver_drv" localSheetId="21" hidden="1">2</definedName>
    <definedName name="solver_eng" localSheetId="17" hidden="1">1</definedName>
    <definedName name="solver_eng" localSheetId="18" hidden="1">1</definedName>
    <definedName name="solver_eng" localSheetId="19" hidden="1">1</definedName>
    <definedName name="solver_eng" localSheetId="20" hidden="1">1</definedName>
    <definedName name="solver_eng" localSheetId="21" hidden="1">1</definedName>
    <definedName name="solver_est" localSheetId="17" hidden="1">1</definedName>
    <definedName name="solver_est" localSheetId="18" hidden="1">1</definedName>
    <definedName name="solver_est" localSheetId="19" hidden="1">1</definedName>
    <definedName name="solver_est" localSheetId="20" hidden="1">1</definedName>
    <definedName name="solver_est" localSheetId="21" hidden="1">1</definedName>
    <definedName name="solver_itr" localSheetId="17" hidden="1">2147483647</definedName>
    <definedName name="solver_itr" localSheetId="18" hidden="1">2147483647</definedName>
    <definedName name="solver_itr" localSheetId="19" hidden="1">2147483647</definedName>
    <definedName name="solver_itr" localSheetId="20" hidden="1">2147483647</definedName>
    <definedName name="solver_itr" localSheetId="21" hidden="1">2147483647</definedName>
    <definedName name="solver_lhs1" localSheetId="17" hidden="1">'Model-Summary'!$I$88</definedName>
    <definedName name="solver_lhs1" localSheetId="18" hidden="1">'Option 1'!$N$88</definedName>
    <definedName name="solver_lhs1" localSheetId="19" hidden="1">'Option 2'!$R$88</definedName>
    <definedName name="solver_lhs1" localSheetId="20" hidden="1">'Option 3'!$N$88</definedName>
    <definedName name="solver_lhs1" localSheetId="21" hidden="1">'Option 4'!$R$88</definedName>
    <definedName name="solver_mip" localSheetId="17" hidden="1">2147483647</definedName>
    <definedName name="solver_mip" localSheetId="18" hidden="1">2147483647</definedName>
    <definedName name="solver_mip" localSheetId="19" hidden="1">2147483647</definedName>
    <definedName name="solver_mip" localSheetId="20" hidden="1">2147483647</definedName>
    <definedName name="solver_mip" localSheetId="21" hidden="1">2147483647</definedName>
    <definedName name="solver_mni" localSheetId="17" hidden="1">30</definedName>
    <definedName name="solver_mni" localSheetId="18" hidden="1">30</definedName>
    <definedName name="solver_mni" localSheetId="19" hidden="1">30</definedName>
    <definedName name="solver_mni" localSheetId="20" hidden="1">30</definedName>
    <definedName name="solver_mni" localSheetId="21" hidden="1">30</definedName>
    <definedName name="solver_mrt" localSheetId="17" hidden="1">0.075</definedName>
    <definedName name="solver_mrt" localSheetId="18" hidden="1">0.075</definedName>
    <definedName name="solver_mrt" localSheetId="19" hidden="1">0.075</definedName>
    <definedName name="solver_mrt" localSheetId="20" hidden="1">0.075</definedName>
    <definedName name="solver_mrt" localSheetId="21" hidden="1">0.075</definedName>
    <definedName name="solver_msl" localSheetId="17" hidden="1">2</definedName>
    <definedName name="solver_msl" localSheetId="18" hidden="1">2</definedName>
    <definedName name="solver_msl" localSheetId="19" hidden="1">2</definedName>
    <definedName name="solver_msl" localSheetId="20" hidden="1">2</definedName>
    <definedName name="solver_msl" localSheetId="21" hidden="1">2</definedName>
    <definedName name="solver_neg" localSheetId="17" hidden="1">1</definedName>
    <definedName name="solver_neg" localSheetId="18" hidden="1">1</definedName>
    <definedName name="solver_neg" localSheetId="19" hidden="1">1</definedName>
    <definedName name="solver_neg" localSheetId="20" hidden="1">1</definedName>
    <definedName name="solver_neg" localSheetId="21" hidden="1">1</definedName>
    <definedName name="solver_nod" localSheetId="17" hidden="1">2147483647</definedName>
    <definedName name="solver_nod" localSheetId="18" hidden="1">2147483647</definedName>
    <definedName name="solver_nod" localSheetId="19" hidden="1">2147483647</definedName>
    <definedName name="solver_nod" localSheetId="20" hidden="1">2147483647</definedName>
    <definedName name="solver_nod" localSheetId="21" hidden="1">2147483647</definedName>
    <definedName name="solver_num" localSheetId="17" hidden="1">1</definedName>
    <definedName name="solver_num" localSheetId="18" hidden="1">1</definedName>
    <definedName name="solver_num" localSheetId="19" hidden="1">1</definedName>
    <definedName name="solver_num" localSheetId="20" hidden="1">1</definedName>
    <definedName name="solver_num" localSheetId="21" hidden="1">1</definedName>
    <definedName name="solver_nwt" localSheetId="17" hidden="1">1</definedName>
    <definedName name="solver_nwt" localSheetId="18" hidden="1">1</definedName>
    <definedName name="solver_nwt" localSheetId="19" hidden="1">1</definedName>
    <definedName name="solver_nwt" localSheetId="20" hidden="1">1</definedName>
    <definedName name="solver_nwt" localSheetId="21" hidden="1">1</definedName>
    <definedName name="solver_opt" localSheetId="17" hidden="1">'Model-Summary'!$J$88</definedName>
    <definedName name="solver_opt" localSheetId="18" hidden="1">'Option 1'!$N$6</definedName>
    <definedName name="solver_opt" localSheetId="19" hidden="1">'Option 2'!$P$6</definedName>
    <definedName name="solver_opt" localSheetId="20" hidden="1">'Option 3'!$N$88</definedName>
    <definedName name="solver_opt" localSheetId="21" hidden="1">'Option 4'!$R$88</definedName>
    <definedName name="solver_pre" localSheetId="17" hidden="1">0.000001</definedName>
    <definedName name="solver_pre" localSheetId="18" hidden="1">0.000001</definedName>
    <definedName name="solver_pre" localSheetId="19" hidden="1">0.000001</definedName>
    <definedName name="solver_pre" localSheetId="20" hidden="1">0.000001</definedName>
    <definedName name="solver_pre" localSheetId="21" hidden="1">0.000001</definedName>
    <definedName name="solver_rbv" localSheetId="17" hidden="1">1</definedName>
    <definedName name="solver_rbv" localSheetId="18" hidden="1">1</definedName>
    <definedName name="solver_rbv" localSheetId="19" hidden="1">1</definedName>
    <definedName name="solver_rbv" localSheetId="20" hidden="1">1</definedName>
    <definedName name="solver_rbv" localSheetId="21" hidden="1">2</definedName>
    <definedName name="solver_rel1" localSheetId="17" hidden="1">2</definedName>
    <definedName name="solver_rel1" localSheetId="18" hidden="1">2</definedName>
    <definedName name="solver_rel1" localSheetId="19" hidden="1">2</definedName>
    <definedName name="solver_rel1" localSheetId="20" hidden="1">2</definedName>
    <definedName name="solver_rel1" localSheetId="21" hidden="1">2</definedName>
    <definedName name="solver_rhs1" localSheetId="17" hidden="1">'Model-Summary'!$O$88</definedName>
    <definedName name="solver_rhs1" localSheetId="18" hidden="1">'Option 1'!$K$88</definedName>
    <definedName name="solver_rhs1" localSheetId="19" hidden="1">'Option 2'!$K$88</definedName>
    <definedName name="solver_rhs1" localSheetId="20" hidden="1">'Option 3'!$K$88</definedName>
    <definedName name="solver_rhs1" localSheetId="21" hidden="1">'Option 4'!$X$88</definedName>
    <definedName name="solver_rlx" localSheetId="17" hidden="1">2</definedName>
    <definedName name="solver_rlx" localSheetId="18" hidden="1">2</definedName>
    <definedName name="solver_rlx" localSheetId="19" hidden="1">2</definedName>
    <definedName name="solver_rlx" localSheetId="20" hidden="1">2</definedName>
    <definedName name="solver_rlx" localSheetId="21" hidden="1">2</definedName>
    <definedName name="solver_rsd" localSheetId="17" hidden="1">0</definedName>
    <definedName name="solver_rsd" localSheetId="18" hidden="1">0</definedName>
    <definedName name="solver_rsd" localSheetId="19" hidden="1">0</definedName>
    <definedName name="solver_rsd" localSheetId="20" hidden="1">0</definedName>
    <definedName name="solver_rsd" localSheetId="21" hidden="1">0</definedName>
    <definedName name="solver_scl" localSheetId="17" hidden="1">1</definedName>
    <definedName name="solver_scl" localSheetId="18" hidden="1">1</definedName>
    <definedName name="solver_scl" localSheetId="19" hidden="1">1</definedName>
    <definedName name="solver_scl" localSheetId="20" hidden="1">1</definedName>
    <definedName name="solver_scl" localSheetId="21" hidden="1">2</definedName>
    <definedName name="solver_sho" localSheetId="17" hidden="1">2</definedName>
    <definedName name="solver_sho" localSheetId="18" hidden="1">2</definedName>
    <definedName name="solver_sho" localSheetId="19" hidden="1">2</definedName>
    <definedName name="solver_sho" localSheetId="20" hidden="1">2</definedName>
    <definedName name="solver_sho" localSheetId="21" hidden="1">2</definedName>
    <definedName name="solver_ssz" localSheetId="17" hidden="1">100</definedName>
    <definedName name="solver_ssz" localSheetId="18" hidden="1">100</definedName>
    <definedName name="solver_ssz" localSheetId="19" hidden="1">100</definedName>
    <definedName name="solver_ssz" localSheetId="20" hidden="1">100</definedName>
    <definedName name="solver_ssz" localSheetId="21" hidden="1">100</definedName>
    <definedName name="solver_tim" localSheetId="17" hidden="1">2147483647</definedName>
    <definedName name="solver_tim" localSheetId="18" hidden="1">2147483647</definedName>
    <definedName name="solver_tim" localSheetId="19" hidden="1">2147483647</definedName>
    <definedName name="solver_tim" localSheetId="20" hidden="1">2147483647</definedName>
    <definedName name="solver_tim" localSheetId="21" hidden="1">2147483647</definedName>
    <definedName name="solver_tol" localSheetId="17" hidden="1">0.01</definedName>
    <definedName name="solver_tol" localSheetId="18" hidden="1">0.01</definedName>
    <definedName name="solver_tol" localSheetId="19" hidden="1">0.01</definedName>
    <definedName name="solver_tol" localSheetId="20" hidden="1">0.01</definedName>
    <definedName name="solver_tol" localSheetId="21" hidden="1">0.01</definedName>
    <definedName name="solver_typ" localSheetId="17" hidden="1">1</definedName>
    <definedName name="solver_typ" localSheetId="18" hidden="1">1</definedName>
    <definedName name="solver_typ" localSheetId="19" hidden="1">1</definedName>
    <definedName name="solver_typ" localSheetId="20" hidden="1">1</definedName>
    <definedName name="solver_typ" localSheetId="21" hidden="1">1</definedName>
    <definedName name="solver_val" localSheetId="17" hidden="1">0</definedName>
    <definedName name="solver_val" localSheetId="18" hidden="1">0</definedName>
    <definedName name="solver_val" localSheetId="19" hidden="1">0</definedName>
    <definedName name="solver_val" localSheetId="20" hidden="1">0</definedName>
    <definedName name="solver_val" localSheetId="21" hidden="1">0</definedName>
    <definedName name="solver_ver" localSheetId="17" hidden="1">3</definedName>
    <definedName name="solver_ver" localSheetId="18" hidden="1">3</definedName>
    <definedName name="solver_ver" localSheetId="19" hidden="1">3</definedName>
    <definedName name="solver_ver" localSheetId="20" hidden="1">3</definedName>
    <definedName name="solver_ver" localSheetId="21" hidden="1">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26" l="1"/>
  <c r="B4" i="9" l="1"/>
  <c r="F4" i="14" l="1"/>
  <c r="I4" i="9"/>
  <c r="BE6" i="48" l="1"/>
  <c r="I7" i="46" s="1"/>
  <c r="K7" i="46" s="1"/>
  <c r="M8" i="45" l="1"/>
  <c r="M7" i="45"/>
  <c r="D9" i="23" l="1"/>
  <c r="D6" i="23" l="1"/>
  <c r="L6" i="33" l="1"/>
  <c r="B6" i="23" l="1"/>
  <c r="C65" i="31"/>
  <c r="D4" i="26" s="1"/>
  <c r="D14" i="26"/>
  <c r="M9" i="45" l="1"/>
  <c r="C71" i="31" l="1"/>
  <c r="J4" i="26" s="1"/>
  <c r="C38" i="31" l="1"/>
  <c r="D4" i="23" s="1"/>
  <c r="C59" i="31"/>
  <c r="D4" i="27" s="1"/>
  <c r="C54" i="31"/>
  <c r="C36" i="31"/>
  <c r="C8" i="17" s="1"/>
  <c r="C35" i="31"/>
  <c r="C7" i="17" s="1"/>
  <c r="C34" i="31"/>
  <c r="C6" i="17" s="1"/>
  <c r="C33" i="31"/>
  <c r="C5" i="17" s="1"/>
  <c r="C32" i="31"/>
  <c r="C4" i="17" s="1"/>
  <c r="F22" i="17" s="1"/>
  <c r="C60" i="31"/>
  <c r="F5" i="27" s="1"/>
  <c r="F6" i="23"/>
  <c r="D16" i="21"/>
  <c r="D30" i="21"/>
  <c r="D31" i="21"/>
  <c r="D32" i="21"/>
  <c r="D38" i="21"/>
  <c r="D39" i="21"/>
  <c r="D40" i="21"/>
  <c r="D41" i="21"/>
  <c r="D42" i="21"/>
  <c r="D43" i="21"/>
  <c r="D44" i="21"/>
  <c r="D45" i="21"/>
  <c r="D46" i="21"/>
  <c r="D47" i="21"/>
  <c r="D48" i="21"/>
  <c r="D49" i="21"/>
  <c r="D50" i="21"/>
  <c r="D51" i="21"/>
  <c r="D52" i="21"/>
  <c r="D53" i="21"/>
  <c r="D54" i="21"/>
  <c r="D55" i="21"/>
  <c r="D56" i="21"/>
  <c r="D57" i="21"/>
  <c r="D58" i="21"/>
  <c r="D59" i="21"/>
  <c r="D60" i="21"/>
  <c r="D61" i="21"/>
  <c r="D62" i="21"/>
  <c r="D63" i="21"/>
  <c r="D64" i="21"/>
  <c r="D65" i="21"/>
  <c r="D66" i="21"/>
  <c r="D67" i="21"/>
  <c r="D68" i="21"/>
  <c r="D69" i="21"/>
  <c r="D70" i="21"/>
  <c r="D71" i="21"/>
  <c r="D72" i="21"/>
  <c r="D73" i="21"/>
  <c r="D74" i="21"/>
  <c r="D75" i="21"/>
  <c r="D76" i="21"/>
  <c r="D77" i="21"/>
  <c r="D78" i="21"/>
  <c r="D79" i="21"/>
  <c r="D80" i="21"/>
  <c r="D81" i="21"/>
  <c r="D82" i="21"/>
  <c r="D83" i="21"/>
  <c r="D84" i="21"/>
  <c r="D85" i="21"/>
  <c r="D86" i="21"/>
  <c r="D87" i="21"/>
  <c r="D88" i="21"/>
  <c r="D89" i="21"/>
  <c r="D90" i="21"/>
  <c r="D91" i="21"/>
  <c r="D92" i="21"/>
  <c r="D93" i="21"/>
  <c r="D94" i="21"/>
  <c r="D95" i="21"/>
  <c r="G79" i="21"/>
  <c r="G78" i="21"/>
  <c r="G77" i="21"/>
  <c r="G76" i="21"/>
  <c r="G75" i="21"/>
  <c r="G74" i="21"/>
  <c r="F35" i="17" l="1"/>
  <c r="F82" i="17"/>
  <c r="F66" i="17"/>
  <c r="F50" i="17"/>
  <c r="F34" i="17"/>
  <c r="F18" i="17"/>
  <c r="F93" i="17"/>
  <c r="F77" i="17"/>
  <c r="F61" i="17"/>
  <c r="F45" i="17"/>
  <c r="F29" i="17"/>
  <c r="F92" i="17"/>
  <c r="F76" i="17"/>
  <c r="F60" i="17"/>
  <c r="F44" i="17"/>
  <c r="F28" i="17"/>
  <c r="F83" i="17"/>
  <c r="F67" i="17"/>
  <c r="F51" i="17"/>
  <c r="F19" i="17"/>
  <c r="F91" i="17"/>
  <c r="F75" i="17"/>
  <c r="F59" i="17"/>
  <c r="F43" i="17"/>
  <c r="F27" i="17"/>
  <c r="F90" i="17"/>
  <c r="F74" i="17"/>
  <c r="F58" i="17"/>
  <c r="F42" i="17"/>
  <c r="F26" i="17"/>
  <c r="F85" i="17"/>
  <c r="F69" i="17"/>
  <c r="F53" i="17"/>
  <c r="F37" i="17"/>
  <c r="F21" i="17"/>
  <c r="F84" i="17"/>
  <c r="F68" i="17"/>
  <c r="F52" i="17"/>
  <c r="F36" i="17"/>
  <c r="F20" i="17"/>
  <c r="F89" i="17"/>
  <c r="F81" i="17"/>
  <c r="F73" i="17"/>
  <c r="F65" i="17"/>
  <c r="F57" i="17"/>
  <c r="F49" i="17"/>
  <c r="F41" i="17"/>
  <c r="F33" i="17"/>
  <c r="F25" i="17"/>
  <c r="F17" i="17"/>
  <c r="F15" i="17"/>
  <c r="F88" i="17"/>
  <c r="F80" i="17"/>
  <c r="F72" i="17"/>
  <c r="F64" i="17"/>
  <c r="F56" i="17"/>
  <c r="F48" i="17"/>
  <c r="F40" i="17"/>
  <c r="F32" i="17"/>
  <c r="F24" i="17"/>
  <c r="F16" i="17"/>
  <c r="F95" i="17"/>
  <c r="F87" i="17"/>
  <c r="F79" i="17"/>
  <c r="F71" i="17"/>
  <c r="F63" i="17"/>
  <c r="F55" i="17"/>
  <c r="F47" i="17"/>
  <c r="F39" i="17"/>
  <c r="F31" i="17"/>
  <c r="F23" i="17"/>
  <c r="F94" i="17"/>
  <c r="F86" i="17"/>
  <c r="F78" i="17"/>
  <c r="F70" i="17"/>
  <c r="F62" i="17"/>
  <c r="F54" i="17"/>
  <c r="F46" i="17"/>
  <c r="F38" i="17"/>
  <c r="F30" i="17"/>
  <c r="D37" i="21" l="1"/>
  <c r="D34" i="21"/>
  <c r="D36" i="21"/>
  <c r="D35" i="21"/>
  <c r="D33" i="21"/>
  <c r="F86" i="29" l="1"/>
  <c r="M6" i="46"/>
  <c r="CP92" i="48"/>
  <c r="CO92" i="48"/>
  <c r="CN92" i="48"/>
  <c r="CM92" i="48"/>
  <c r="CL92" i="48"/>
  <c r="CK92" i="48"/>
  <c r="CJ92" i="48"/>
  <c r="CI92" i="48"/>
  <c r="CH92" i="48"/>
  <c r="CG92" i="48"/>
  <c r="CF92" i="48"/>
  <c r="CE92" i="48"/>
  <c r="CD92" i="48"/>
  <c r="CB92" i="48"/>
  <c r="CA92" i="48"/>
  <c r="BZ92" i="48"/>
  <c r="BY92" i="48"/>
  <c r="BX92" i="48"/>
  <c r="BW92" i="48"/>
  <c r="BV92" i="48"/>
  <c r="BU92" i="48"/>
  <c r="BT92" i="48"/>
  <c r="BS92" i="48"/>
  <c r="BR92" i="48"/>
  <c r="BQ92" i="48"/>
  <c r="BP92" i="48"/>
  <c r="BO92" i="48"/>
  <c r="BN92" i="48"/>
  <c r="BM92" i="48"/>
  <c r="BL92" i="48"/>
  <c r="BK92" i="48"/>
  <c r="BJ92" i="48"/>
  <c r="BI92" i="48"/>
  <c r="BH92" i="48"/>
  <c r="BG92" i="48"/>
  <c r="BD92" i="48"/>
  <c r="BC92" i="48"/>
  <c r="BB92" i="48"/>
  <c r="BA92" i="48"/>
  <c r="AZ92" i="48"/>
  <c r="AY92" i="48"/>
  <c r="AX92" i="48"/>
  <c r="AW92" i="48"/>
  <c r="AV92" i="48"/>
  <c r="AU92" i="48"/>
  <c r="AT92" i="48"/>
  <c r="AS92" i="48"/>
  <c r="AR92" i="48"/>
  <c r="AQ92" i="48"/>
  <c r="AP92" i="48"/>
  <c r="AO92" i="48"/>
  <c r="AN92" i="48"/>
  <c r="AM92" i="48"/>
  <c r="AL92" i="48"/>
  <c r="AK92" i="48"/>
  <c r="AJ92" i="48"/>
  <c r="AI92" i="48"/>
  <c r="AH92" i="48"/>
  <c r="AG92" i="48"/>
  <c r="AF92" i="48"/>
  <c r="AE92" i="48"/>
  <c r="AD92" i="48"/>
  <c r="AC92" i="48"/>
  <c r="AB92" i="48"/>
  <c r="AA92" i="48"/>
  <c r="Z92" i="48"/>
  <c r="Y92" i="48"/>
  <c r="X92" i="48"/>
  <c r="W92" i="48"/>
  <c r="V92" i="48"/>
  <c r="U92" i="48"/>
  <c r="T92" i="48"/>
  <c r="S92" i="48"/>
  <c r="R92" i="48"/>
  <c r="Q92" i="48"/>
  <c r="P92" i="48"/>
  <c r="O92" i="48"/>
  <c r="N92" i="48"/>
  <c r="M92" i="48"/>
  <c r="L92" i="48"/>
  <c r="K92" i="48"/>
  <c r="J92" i="48"/>
  <c r="I92" i="48"/>
  <c r="H92" i="48"/>
  <c r="G92" i="48"/>
  <c r="F92" i="48"/>
  <c r="E92" i="48"/>
  <c r="D92" i="48"/>
  <c r="C92" i="48"/>
  <c r="B92" i="48"/>
  <c r="BE91" i="48"/>
  <c r="CR91" i="48" s="1"/>
  <c r="BE90" i="48"/>
  <c r="CP87" i="48"/>
  <c r="CO87" i="48"/>
  <c r="CN87" i="48"/>
  <c r="CM87" i="48"/>
  <c r="CL87" i="48"/>
  <c r="CK87" i="48"/>
  <c r="CJ87" i="48"/>
  <c r="CI87" i="48"/>
  <c r="CH87" i="48"/>
  <c r="CG87" i="48"/>
  <c r="CF87" i="48"/>
  <c r="CE87" i="48"/>
  <c r="CD87" i="48"/>
  <c r="CB87" i="48"/>
  <c r="CA87" i="48"/>
  <c r="BZ87" i="48"/>
  <c r="BY87" i="48"/>
  <c r="BX87" i="48"/>
  <c r="BW87" i="48"/>
  <c r="BV87" i="48"/>
  <c r="BU87" i="48"/>
  <c r="BT87" i="48"/>
  <c r="BS87" i="48"/>
  <c r="BR87" i="48"/>
  <c r="BQ87" i="48"/>
  <c r="BP87" i="48"/>
  <c r="BO87" i="48"/>
  <c r="BN87" i="48"/>
  <c r="BM87" i="48"/>
  <c r="BL87" i="48"/>
  <c r="BK87" i="48"/>
  <c r="BJ87" i="48"/>
  <c r="BI87" i="48"/>
  <c r="BH87" i="48"/>
  <c r="BG87" i="48"/>
  <c r="BD87" i="48"/>
  <c r="BC87" i="48"/>
  <c r="BB87" i="48"/>
  <c r="BA87" i="48"/>
  <c r="AZ87" i="48"/>
  <c r="AY87" i="48"/>
  <c r="AX87" i="48"/>
  <c r="AW87" i="48"/>
  <c r="AV87" i="48"/>
  <c r="AU87" i="48"/>
  <c r="AT87" i="48"/>
  <c r="AS87" i="48"/>
  <c r="AR87" i="48"/>
  <c r="AQ87" i="48"/>
  <c r="AP87" i="48"/>
  <c r="AO87" i="48"/>
  <c r="AN87" i="48"/>
  <c r="AM87" i="48"/>
  <c r="AL87" i="48"/>
  <c r="AK87" i="48"/>
  <c r="AJ87" i="48"/>
  <c r="AI87" i="48"/>
  <c r="AH87" i="48"/>
  <c r="AG87" i="48"/>
  <c r="AF87" i="48"/>
  <c r="AE87" i="48"/>
  <c r="AD87" i="48"/>
  <c r="AC87" i="48"/>
  <c r="AB87" i="48"/>
  <c r="AA87" i="48"/>
  <c r="Z87" i="48"/>
  <c r="Y87" i="48"/>
  <c r="X87" i="48"/>
  <c r="W87" i="48"/>
  <c r="V87" i="48"/>
  <c r="U87" i="48"/>
  <c r="T87" i="48"/>
  <c r="S87" i="48"/>
  <c r="R87" i="48"/>
  <c r="Q87" i="48"/>
  <c r="P87" i="48"/>
  <c r="O87" i="48"/>
  <c r="N87" i="48"/>
  <c r="M87" i="48"/>
  <c r="L87" i="48"/>
  <c r="K87" i="48"/>
  <c r="J87" i="48"/>
  <c r="I87" i="48"/>
  <c r="H87" i="48"/>
  <c r="G87" i="48"/>
  <c r="F87" i="48"/>
  <c r="E87" i="48"/>
  <c r="D87" i="48"/>
  <c r="C87" i="48"/>
  <c r="B87" i="48"/>
  <c r="CR86" i="48"/>
  <c r="BE86" i="48"/>
  <c r="I87" i="46" s="1"/>
  <c r="K87" i="46" s="1"/>
  <c r="CR85" i="48"/>
  <c r="BE85" i="48"/>
  <c r="I86" i="46" s="1"/>
  <c r="K86" i="46" s="1"/>
  <c r="CR84" i="48"/>
  <c r="BE84" i="48"/>
  <c r="I85" i="46" s="1"/>
  <c r="K85" i="46" s="1"/>
  <c r="CR83" i="48"/>
  <c r="BE83" i="48"/>
  <c r="I84" i="46" s="1"/>
  <c r="K84" i="46" s="1"/>
  <c r="CR82" i="48"/>
  <c r="BE82" i="48"/>
  <c r="I83" i="46" s="1"/>
  <c r="K83" i="46" s="1"/>
  <c r="CR81" i="48"/>
  <c r="BE81" i="48"/>
  <c r="I82" i="46" s="1"/>
  <c r="K82" i="46" s="1"/>
  <c r="CR80" i="48"/>
  <c r="BE80" i="48"/>
  <c r="I81" i="46" s="1"/>
  <c r="K81" i="46" s="1"/>
  <c r="CR79" i="48"/>
  <c r="BE79" i="48"/>
  <c r="I80" i="46" s="1"/>
  <c r="K80" i="46" s="1"/>
  <c r="CR78" i="48"/>
  <c r="BE78" i="48"/>
  <c r="I79" i="46" s="1"/>
  <c r="K79" i="46" s="1"/>
  <c r="CR77" i="48"/>
  <c r="BE77" i="48"/>
  <c r="I78" i="46" s="1"/>
  <c r="K78" i="46" s="1"/>
  <c r="CR76" i="48"/>
  <c r="BE76" i="48"/>
  <c r="I77" i="46" s="1"/>
  <c r="K77" i="46" s="1"/>
  <c r="CR75" i="48"/>
  <c r="BE75" i="48"/>
  <c r="I76" i="46" s="1"/>
  <c r="K76" i="46" s="1"/>
  <c r="CR74" i="48"/>
  <c r="BE74" i="48"/>
  <c r="I75" i="46" s="1"/>
  <c r="K75" i="46" s="1"/>
  <c r="CR73" i="48"/>
  <c r="BE73" i="48"/>
  <c r="I74" i="46" s="1"/>
  <c r="K74" i="46" s="1"/>
  <c r="CR72" i="48"/>
  <c r="BE72" i="48"/>
  <c r="I73" i="46" s="1"/>
  <c r="K73" i="46" s="1"/>
  <c r="CR71" i="48"/>
  <c r="BE71" i="48"/>
  <c r="I72" i="46" s="1"/>
  <c r="K72" i="46" s="1"/>
  <c r="CR70" i="48"/>
  <c r="BE70" i="48"/>
  <c r="I71" i="46" s="1"/>
  <c r="K71" i="46" s="1"/>
  <c r="CR69" i="48"/>
  <c r="BE69" i="48"/>
  <c r="I70" i="46" s="1"/>
  <c r="K70" i="46" s="1"/>
  <c r="CR68" i="48"/>
  <c r="BE68" i="48"/>
  <c r="I69" i="46" s="1"/>
  <c r="K69" i="46" s="1"/>
  <c r="CR67" i="48"/>
  <c r="BE67" i="48"/>
  <c r="I68" i="46" s="1"/>
  <c r="K68" i="46" s="1"/>
  <c r="CR66" i="48"/>
  <c r="BE66" i="48"/>
  <c r="I67" i="46" s="1"/>
  <c r="K67" i="46" s="1"/>
  <c r="CR65" i="48"/>
  <c r="BE65" i="48"/>
  <c r="I66" i="46" s="1"/>
  <c r="K66" i="46" s="1"/>
  <c r="CR64" i="48"/>
  <c r="BE64" i="48"/>
  <c r="I65" i="46" s="1"/>
  <c r="K65" i="46" s="1"/>
  <c r="CR63" i="48"/>
  <c r="BE63" i="48"/>
  <c r="I64" i="46" s="1"/>
  <c r="K64" i="46" s="1"/>
  <c r="CR62" i="48"/>
  <c r="BE62" i="48"/>
  <c r="I63" i="46" s="1"/>
  <c r="K63" i="46" s="1"/>
  <c r="CR61" i="48"/>
  <c r="BE61" i="48"/>
  <c r="I62" i="46" s="1"/>
  <c r="K62" i="46" s="1"/>
  <c r="CR60" i="48"/>
  <c r="BE60" i="48"/>
  <c r="I61" i="46" s="1"/>
  <c r="K61" i="46" s="1"/>
  <c r="CR59" i="48"/>
  <c r="BE59" i="48"/>
  <c r="I60" i="46" s="1"/>
  <c r="K60" i="46" s="1"/>
  <c r="CR58" i="48"/>
  <c r="BE58" i="48"/>
  <c r="I59" i="46" s="1"/>
  <c r="K59" i="46" s="1"/>
  <c r="CR57" i="48"/>
  <c r="BE57" i="48"/>
  <c r="I58" i="46" s="1"/>
  <c r="K58" i="46" s="1"/>
  <c r="CR56" i="48"/>
  <c r="BE56" i="48"/>
  <c r="I57" i="46" s="1"/>
  <c r="K57" i="46" s="1"/>
  <c r="CR55" i="48"/>
  <c r="BE55" i="48"/>
  <c r="I56" i="46" s="1"/>
  <c r="K56" i="46" s="1"/>
  <c r="CR54" i="48"/>
  <c r="BE54" i="48"/>
  <c r="I55" i="46" s="1"/>
  <c r="K55" i="46" s="1"/>
  <c r="CR53" i="48"/>
  <c r="BE53" i="48"/>
  <c r="I54" i="46" s="1"/>
  <c r="K54" i="46" s="1"/>
  <c r="CR52" i="48"/>
  <c r="BE52" i="48"/>
  <c r="I53" i="46" s="1"/>
  <c r="K53" i="46" s="1"/>
  <c r="CR51" i="48"/>
  <c r="BE51" i="48"/>
  <c r="I52" i="46" s="1"/>
  <c r="K52" i="46" s="1"/>
  <c r="CR50" i="48"/>
  <c r="BE50" i="48"/>
  <c r="I51" i="46" s="1"/>
  <c r="K51" i="46" s="1"/>
  <c r="CR49" i="48"/>
  <c r="BE49" i="48"/>
  <c r="I50" i="46" s="1"/>
  <c r="K50" i="46" s="1"/>
  <c r="CR48" i="48"/>
  <c r="BE48" i="48"/>
  <c r="I49" i="46" s="1"/>
  <c r="K49" i="46" s="1"/>
  <c r="CR47" i="48"/>
  <c r="BE47" i="48"/>
  <c r="I48" i="46" s="1"/>
  <c r="K48" i="46" s="1"/>
  <c r="CR46" i="48"/>
  <c r="BE46" i="48"/>
  <c r="I47" i="46" s="1"/>
  <c r="K47" i="46" s="1"/>
  <c r="CR45" i="48"/>
  <c r="BE45" i="48"/>
  <c r="I46" i="46" s="1"/>
  <c r="K46" i="46" s="1"/>
  <c r="CR44" i="48"/>
  <c r="BE44" i="48"/>
  <c r="I45" i="46" s="1"/>
  <c r="K45" i="46" s="1"/>
  <c r="CR43" i="48"/>
  <c r="BE43" i="48"/>
  <c r="I44" i="46" s="1"/>
  <c r="K44" i="46" s="1"/>
  <c r="CR42" i="48"/>
  <c r="BE42" i="48"/>
  <c r="I43" i="46" s="1"/>
  <c r="K43" i="46" s="1"/>
  <c r="CR41" i="48"/>
  <c r="BE41" i="48"/>
  <c r="I42" i="46" s="1"/>
  <c r="K42" i="46" s="1"/>
  <c r="CR40" i="48"/>
  <c r="BE40" i="48"/>
  <c r="I41" i="46" s="1"/>
  <c r="K41" i="46" s="1"/>
  <c r="CR39" i="48"/>
  <c r="BE39" i="48"/>
  <c r="I40" i="46" s="1"/>
  <c r="K40" i="46" s="1"/>
  <c r="CR38" i="48"/>
  <c r="BE38" i="48"/>
  <c r="I39" i="46" s="1"/>
  <c r="K39" i="46" s="1"/>
  <c r="CR37" i="48"/>
  <c r="BE37" i="48"/>
  <c r="I38" i="46" s="1"/>
  <c r="K38" i="46" s="1"/>
  <c r="CR36" i="48"/>
  <c r="BE36" i="48"/>
  <c r="I37" i="46" s="1"/>
  <c r="K37" i="46" s="1"/>
  <c r="CR35" i="48"/>
  <c r="BE35" i="48"/>
  <c r="I36" i="46" s="1"/>
  <c r="K36" i="46" s="1"/>
  <c r="CR34" i="48"/>
  <c r="BE34" i="48"/>
  <c r="I35" i="46" s="1"/>
  <c r="K35" i="46" s="1"/>
  <c r="CR33" i="48"/>
  <c r="BE33" i="48"/>
  <c r="I34" i="46" s="1"/>
  <c r="K34" i="46" s="1"/>
  <c r="CR32" i="48"/>
  <c r="BE32" i="48"/>
  <c r="I33" i="46" s="1"/>
  <c r="K33" i="46" s="1"/>
  <c r="CR31" i="48"/>
  <c r="BE31" i="48"/>
  <c r="I32" i="46" s="1"/>
  <c r="K32" i="46" s="1"/>
  <c r="CR30" i="48"/>
  <c r="BE30" i="48"/>
  <c r="I31" i="46" s="1"/>
  <c r="K31" i="46" s="1"/>
  <c r="CR29" i="48"/>
  <c r="BE29" i="48"/>
  <c r="I30" i="46" s="1"/>
  <c r="K30" i="46" s="1"/>
  <c r="CR28" i="48"/>
  <c r="BE28" i="48"/>
  <c r="I29" i="46" s="1"/>
  <c r="K29" i="46" s="1"/>
  <c r="CR27" i="48"/>
  <c r="BE27" i="48"/>
  <c r="I28" i="46" s="1"/>
  <c r="K28" i="46" s="1"/>
  <c r="CR26" i="48"/>
  <c r="BE26" i="48"/>
  <c r="I27" i="46" s="1"/>
  <c r="K27" i="46" s="1"/>
  <c r="CR25" i="48"/>
  <c r="BE25" i="48"/>
  <c r="I26" i="46" s="1"/>
  <c r="K26" i="46" s="1"/>
  <c r="CR24" i="48"/>
  <c r="BE24" i="48"/>
  <c r="I25" i="46" s="1"/>
  <c r="K25" i="46" s="1"/>
  <c r="CR23" i="48"/>
  <c r="BE23" i="48"/>
  <c r="I24" i="46" s="1"/>
  <c r="K24" i="46" s="1"/>
  <c r="CR22" i="48"/>
  <c r="BE22" i="48"/>
  <c r="I23" i="46" s="1"/>
  <c r="K23" i="46" s="1"/>
  <c r="CR21" i="48"/>
  <c r="BE21" i="48"/>
  <c r="I22" i="46" s="1"/>
  <c r="K22" i="46" s="1"/>
  <c r="CR20" i="48"/>
  <c r="BE20" i="48"/>
  <c r="I21" i="46" s="1"/>
  <c r="K21" i="46" s="1"/>
  <c r="CR19" i="48"/>
  <c r="BE19" i="48"/>
  <c r="I20" i="46" s="1"/>
  <c r="K20" i="46" s="1"/>
  <c r="CR18" i="48"/>
  <c r="BE18" i="48"/>
  <c r="I19" i="46" s="1"/>
  <c r="K19" i="46" s="1"/>
  <c r="CR17" i="48"/>
  <c r="BE17" i="48"/>
  <c r="I18" i="46" s="1"/>
  <c r="K18" i="46" s="1"/>
  <c r="CR16" i="48"/>
  <c r="BE16" i="48"/>
  <c r="I17" i="46" s="1"/>
  <c r="K17" i="46" s="1"/>
  <c r="CR15" i="48"/>
  <c r="BE15" i="48"/>
  <c r="I16" i="46" s="1"/>
  <c r="K16" i="46" s="1"/>
  <c r="CR14" i="48"/>
  <c r="BE14" i="48"/>
  <c r="I15" i="46" s="1"/>
  <c r="K15" i="46" s="1"/>
  <c r="CR13" i="48"/>
  <c r="BE13" i="48"/>
  <c r="I14" i="46" s="1"/>
  <c r="K14" i="46" s="1"/>
  <c r="CR12" i="48"/>
  <c r="BE12" i="48"/>
  <c r="I13" i="46" s="1"/>
  <c r="K13" i="46" s="1"/>
  <c r="CR11" i="48"/>
  <c r="BE11" i="48"/>
  <c r="I12" i="46" s="1"/>
  <c r="K12" i="46" s="1"/>
  <c r="CR10" i="48"/>
  <c r="BE10" i="48"/>
  <c r="I11" i="46" s="1"/>
  <c r="K11" i="46" s="1"/>
  <c r="CR9" i="48"/>
  <c r="BE9" i="48"/>
  <c r="I10" i="46" s="1"/>
  <c r="K10" i="46" s="1"/>
  <c r="CR8" i="48"/>
  <c r="BE8" i="48"/>
  <c r="I9" i="46" s="1"/>
  <c r="K9" i="46" s="1"/>
  <c r="CR7" i="48"/>
  <c r="BE7" i="48"/>
  <c r="I8" i="46" s="1"/>
  <c r="K8" i="46" s="1"/>
  <c r="CR6" i="48"/>
  <c r="BE92" i="48" l="1"/>
  <c r="BE87" i="48"/>
  <c r="I88" i="46" s="1"/>
  <c r="CR87" i="48"/>
  <c r="CR90" i="48"/>
  <c r="CR92" i="48" s="1"/>
  <c r="I89" i="46" l="1"/>
  <c r="K88" i="46"/>
  <c r="C87" i="46"/>
  <c r="C86" i="46"/>
  <c r="C85" i="46"/>
  <c r="C84" i="46"/>
  <c r="C83" i="46"/>
  <c r="C82" i="46"/>
  <c r="C81" i="46"/>
  <c r="C80" i="46"/>
  <c r="C79" i="46"/>
  <c r="C78" i="46"/>
  <c r="C77" i="46"/>
  <c r="C76" i="46"/>
  <c r="C75" i="46"/>
  <c r="C74" i="46"/>
  <c r="C73" i="46"/>
  <c r="C72" i="46"/>
  <c r="C71" i="46"/>
  <c r="C70" i="46"/>
  <c r="C69" i="46"/>
  <c r="C68" i="46"/>
  <c r="C67" i="46"/>
  <c r="C66" i="46"/>
  <c r="C65" i="46"/>
  <c r="C64" i="46"/>
  <c r="C63" i="46"/>
  <c r="C62" i="46"/>
  <c r="C61" i="46"/>
  <c r="C60" i="46"/>
  <c r="C59" i="46"/>
  <c r="C58" i="46"/>
  <c r="C57" i="46"/>
  <c r="C56" i="46"/>
  <c r="C55" i="46"/>
  <c r="C54" i="46"/>
  <c r="C53" i="46"/>
  <c r="C52" i="46"/>
  <c r="C51" i="46"/>
  <c r="C50" i="46"/>
  <c r="C49" i="46"/>
  <c r="C48" i="46"/>
  <c r="C47" i="46"/>
  <c r="C46" i="46"/>
  <c r="C45" i="46"/>
  <c r="C44" i="46"/>
  <c r="C43" i="46"/>
  <c r="C42" i="46"/>
  <c r="C41" i="46"/>
  <c r="C40" i="46"/>
  <c r="C39" i="46"/>
  <c r="C38" i="46"/>
  <c r="C37" i="46"/>
  <c r="C36" i="46"/>
  <c r="C35" i="46"/>
  <c r="C34" i="46"/>
  <c r="C33" i="46"/>
  <c r="C32" i="46"/>
  <c r="C31" i="46"/>
  <c r="C30" i="46"/>
  <c r="C29" i="46"/>
  <c r="C28" i="46"/>
  <c r="C27" i="46"/>
  <c r="C26" i="46"/>
  <c r="C25" i="46"/>
  <c r="C24" i="46"/>
  <c r="C23" i="46"/>
  <c r="C22" i="46"/>
  <c r="C21" i="46"/>
  <c r="C20" i="46"/>
  <c r="C19" i="46"/>
  <c r="C18" i="46"/>
  <c r="C17" i="46"/>
  <c r="C16" i="46"/>
  <c r="C15" i="46"/>
  <c r="C14" i="46"/>
  <c r="C13" i="46"/>
  <c r="C12" i="46"/>
  <c r="C11" i="46"/>
  <c r="C10" i="46"/>
  <c r="C9" i="46"/>
  <c r="C8" i="46"/>
  <c r="C7" i="46"/>
  <c r="G86" i="29"/>
  <c r="C88" i="46" l="1"/>
  <c r="M20" i="45"/>
  <c r="M10" i="45"/>
  <c r="M11" i="45"/>
  <c r="M12" i="45"/>
  <c r="M13" i="45"/>
  <c r="M14" i="45"/>
  <c r="M15" i="45"/>
  <c r="M16" i="45"/>
  <c r="M17" i="45"/>
  <c r="M18" i="45"/>
  <c r="M19" i="45"/>
  <c r="M21" i="45"/>
  <c r="M22" i="45"/>
  <c r="M23" i="45"/>
  <c r="M24" i="45"/>
  <c r="M25" i="45"/>
  <c r="M26" i="45"/>
  <c r="M27" i="45"/>
  <c r="M28" i="45"/>
  <c r="M29" i="45"/>
  <c r="M30" i="45"/>
  <c r="M31" i="45"/>
  <c r="M32" i="45"/>
  <c r="M33" i="45"/>
  <c r="M34" i="45"/>
  <c r="M35" i="45"/>
  <c r="M36" i="45"/>
  <c r="M37" i="45"/>
  <c r="M38" i="45"/>
  <c r="M39" i="45"/>
  <c r="M40" i="45"/>
  <c r="M41" i="45"/>
  <c r="M42" i="45"/>
  <c r="M43" i="45"/>
  <c r="M44" i="45"/>
  <c r="M45" i="45"/>
  <c r="M46" i="45"/>
  <c r="M47" i="45"/>
  <c r="M48" i="45"/>
  <c r="M49" i="45"/>
  <c r="M50" i="45"/>
  <c r="M51" i="45"/>
  <c r="M52" i="45"/>
  <c r="M53" i="45"/>
  <c r="M54" i="45"/>
  <c r="M55" i="45"/>
  <c r="M56" i="45"/>
  <c r="M57" i="45"/>
  <c r="M58" i="45"/>
  <c r="M59" i="45"/>
  <c r="M60" i="45"/>
  <c r="M61" i="45"/>
  <c r="M62" i="45"/>
  <c r="M63" i="45"/>
  <c r="M64" i="45"/>
  <c r="M65" i="45"/>
  <c r="M66" i="45"/>
  <c r="M67" i="45"/>
  <c r="M68" i="45"/>
  <c r="M69" i="45"/>
  <c r="M70" i="45"/>
  <c r="M71" i="45"/>
  <c r="M72" i="45"/>
  <c r="M73" i="45"/>
  <c r="M74" i="45"/>
  <c r="M75" i="45"/>
  <c r="M76" i="45"/>
  <c r="M77" i="45"/>
  <c r="M78" i="45"/>
  <c r="M79" i="45"/>
  <c r="M80" i="45"/>
  <c r="M81" i="45"/>
  <c r="M82" i="45"/>
  <c r="M83" i="45"/>
  <c r="M84" i="45"/>
  <c r="M85" i="45"/>
  <c r="M86" i="45"/>
  <c r="M87" i="45"/>
  <c r="M88" i="45"/>
  <c r="M89" i="45" s="1"/>
  <c r="C88" i="45"/>
  <c r="O6" i="45"/>
  <c r="D15" i="12" l="1"/>
  <c r="K89" i="46" l="1"/>
  <c r="C56" i="31"/>
  <c r="C55" i="31"/>
  <c r="B9" i="24" l="1"/>
  <c r="C74" i="31"/>
  <c r="B4" i="26" s="1"/>
  <c r="C49" i="31"/>
  <c r="B4" i="39" s="1"/>
  <c r="C46" i="31"/>
  <c r="E4" i="9" s="1"/>
  <c r="B8" i="24" l="1"/>
  <c r="C15" i="24" l="1"/>
  <c r="C16" i="24"/>
  <c r="C17" i="24"/>
  <c r="C18" i="24"/>
  <c r="C19" i="24"/>
  <c r="C20" i="24"/>
  <c r="C21" i="24"/>
  <c r="C22" i="24"/>
  <c r="C23" i="24"/>
  <c r="C24" i="24"/>
  <c r="C25" i="24"/>
  <c r="C26" i="24"/>
  <c r="C27" i="24"/>
  <c r="C28" i="24"/>
  <c r="C29" i="24"/>
  <c r="C30" i="24"/>
  <c r="C31" i="24"/>
  <c r="C32" i="24"/>
  <c r="C33" i="24"/>
  <c r="C34" i="24"/>
  <c r="C35" i="24"/>
  <c r="C36" i="24"/>
  <c r="C37" i="24"/>
  <c r="C38" i="24"/>
  <c r="C39" i="24"/>
  <c r="C40" i="24"/>
  <c r="C41" i="24"/>
  <c r="C42" i="24"/>
  <c r="C43" i="24"/>
  <c r="C44" i="24"/>
  <c r="C45" i="24"/>
  <c r="C46" i="24"/>
  <c r="C47" i="24"/>
  <c r="C48" i="24"/>
  <c r="C49" i="24"/>
  <c r="C50" i="24"/>
  <c r="C51" i="24"/>
  <c r="C52" i="24"/>
  <c r="C53" i="24"/>
  <c r="C54" i="24"/>
  <c r="C55" i="24"/>
  <c r="C56" i="24"/>
  <c r="C57" i="24"/>
  <c r="C58" i="24"/>
  <c r="C59" i="24"/>
  <c r="C60" i="24"/>
  <c r="C61" i="24"/>
  <c r="C62" i="24"/>
  <c r="C63" i="24"/>
  <c r="C64" i="24"/>
  <c r="C65" i="24"/>
  <c r="C66" i="24"/>
  <c r="C67" i="24"/>
  <c r="C68" i="24"/>
  <c r="C69" i="24"/>
  <c r="C70" i="24"/>
  <c r="C71" i="24"/>
  <c r="C72" i="24"/>
  <c r="C73" i="24"/>
  <c r="C74" i="24"/>
  <c r="C75" i="24"/>
  <c r="C76" i="24"/>
  <c r="C77" i="24"/>
  <c r="C78" i="24"/>
  <c r="C79" i="24"/>
  <c r="C80" i="24"/>
  <c r="C81" i="24"/>
  <c r="C82" i="24"/>
  <c r="C83" i="24"/>
  <c r="C84" i="24"/>
  <c r="C85" i="24"/>
  <c r="C86" i="24"/>
  <c r="C87" i="24"/>
  <c r="C88" i="24"/>
  <c r="C89" i="24"/>
  <c r="C90" i="24"/>
  <c r="C91" i="24"/>
  <c r="C92" i="24"/>
  <c r="C93" i="24"/>
  <c r="C94" i="24"/>
  <c r="C14" i="24"/>
  <c r="BL6" i="35" l="1"/>
  <c r="I7" i="45" s="1"/>
  <c r="E55" i="31" l="1"/>
  <c r="CR7" i="35"/>
  <c r="CR8" i="35"/>
  <c r="CR9" i="35"/>
  <c r="CR10" i="35"/>
  <c r="CR11" i="35"/>
  <c r="CR12" i="35"/>
  <c r="CR13" i="35"/>
  <c r="CR14" i="35"/>
  <c r="CR15" i="35"/>
  <c r="CR16" i="35"/>
  <c r="CR17" i="35"/>
  <c r="CR18" i="35"/>
  <c r="CR19" i="35"/>
  <c r="CR20" i="35"/>
  <c r="CR21" i="35"/>
  <c r="CR22" i="35"/>
  <c r="CR23" i="35"/>
  <c r="CR24" i="35"/>
  <c r="CR25" i="35"/>
  <c r="CR26" i="35"/>
  <c r="CR27" i="35"/>
  <c r="CR28" i="35"/>
  <c r="CR29" i="35"/>
  <c r="CR30" i="35"/>
  <c r="CR31" i="35"/>
  <c r="CR32" i="35"/>
  <c r="CR33" i="35"/>
  <c r="CR34" i="35"/>
  <c r="CR35" i="35"/>
  <c r="CR36" i="35"/>
  <c r="CR37" i="35"/>
  <c r="CR38" i="35"/>
  <c r="CR39" i="35"/>
  <c r="CR40" i="35"/>
  <c r="CR41" i="35"/>
  <c r="CR42" i="35"/>
  <c r="CR43" i="35"/>
  <c r="CR44" i="35"/>
  <c r="CR45" i="35"/>
  <c r="CR46" i="35"/>
  <c r="CR47" i="35"/>
  <c r="CR48" i="35"/>
  <c r="CR49" i="35"/>
  <c r="CR50" i="35"/>
  <c r="CR51" i="35"/>
  <c r="CR52" i="35"/>
  <c r="CR53" i="35"/>
  <c r="CR54" i="35"/>
  <c r="CR55" i="35"/>
  <c r="CR56" i="35"/>
  <c r="CR57" i="35"/>
  <c r="CR58" i="35"/>
  <c r="CR59" i="35"/>
  <c r="CR60" i="35"/>
  <c r="CR61" i="35"/>
  <c r="CR62" i="35"/>
  <c r="CR63" i="35"/>
  <c r="CR64" i="35"/>
  <c r="CR65" i="35"/>
  <c r="CR66" i="35"/>
  <c r="CR67" i="35"/>
  <c r="CR68" i="35"/>
  <c r="CR69" i="35"/>
  <c r="CR70" i="35"/>
  <c r="CR71" i="35"/>
  <c r="CR72" i="35"/>
  <c r="CR73" i="35"/>
  <c r="CR74" i="35"/>
  <c r="CR75" i="35"/>
  <c r="CR76" i="35"/>
  <c r="CR77" i="35"/>
  <c r="CR78" i="35"/>
  <c r="CR79" i="35"/>
  <c r="CR80" i="35"/>
  <c r="CR81" i="35"/>
  <c r="CR82" i="35"/>
  <c r="CR83" i="35"/>
  <c r="CR84" i="35"/>
  <c r="CR85" i="35"/>
  <c r="CR86" i="35"/>
  <c r="CR6" i="35"/>
  <c r="BL7" i="35"/>
  <c r="I8" i="45" l="1"/>
  <c r="CR87" i="35"/>
  <c r="I7" i="9"/>
  <c r="D8" i="23"/>
  <c r="G7" i="15"/>
  <c r="P22" i="15" s="1"/>
  <c r="G8" i="15"/>
  <c r="S22" i="15" s="1"/>
  <c r="H9" i="23"/>
  <c r="H6" i="23"/>
  <c r="C40" i="31"/>
  <c r="H4" i="23" s="1"/>
  <c r="H8" i="23"/>
  <c r="I14" i="23" l="1"/>
  <c r="I16" i="23"/>
  <c r="I24" i="23"/>
  <c r="I32" i="23"/>
  <c r="I40" i="23"/>
  <c r="I48" i="23"/>
  <c r="I56" i="23"/>
  <c r="I64" i="23"/>
  <c r="I72" i="23"/>
  <c r="I80" i="23"/>
  <c r="I88" i="23"/>
  <c r="I17" i="23"/>
  <c r="I25" i="23"/>
  <c r="I33" i="23"/>
  <c r="I41" i="23"/>
  <c r="I49" i="23"/>
  <c r="I57" i="23"/>
  <c r="I65" i="23"/>
  <c r="I73" i="23"/>
  <c r="I81" i="23"/>
  <c r="I89" i="23"/>
  <c r="I18" i="23"/>
  <c r="I26" i="23"/>
  <c r="I34" i="23"/>
  <c r="I42" i="23"/>
  <c r="I50" i="23"/>
  <c r="I58" i="23"/>
  <c r="I66" i="23"/>
  <c r="I74" i="23"/>
  <c r="I82" i="23"/>
  <c r="I90" i="23"/>
  <c r="I19" i="23"/>
  <c r="I27" i="23"/>
  <c r="I35" i="23"/>
  <c r="I43" i="23"/>
  <c r="I51" i="23"/>
  <c r="I59" i="23"/>
  <c r="I67" i="23"/>
  <c r="I75" i="23"/>
  <c r="I83" i="23"/>
  <c r="I91" i="23"/>
  <c r="I20" i="23"/>
  <c r="I28" i="23"/>
  <c r="I36" i="23"/>
  <c r="I44" i="23"/>
  <c r="I52" i="23"/>
  <c r="I60" i="23"/>
  <c r="I68" i="23"/>
  <c r="I76" i="23"/>
  <c r="I84" i="23"/>
  <c r="I92" i="23"/>
  <c r="I21" i="23"/>
  <c r="I29" i="23"/>
  <c r="I37" i="23"/>
  <c r="I45" i="23"/>
  <c r="I53" i="23"/>
  <c r="I61" i="23"/>
  <c r="I69" i="23"/>
  <c r="I77" i="23"/>
  <c r="I85" i="23"/>
  <c r="I93" i="23"/>
  <c r="I22" i="23"/>
  <c r="I30" i="23"/>
  <c r="I38" i="23"/>
  <c r="I46" i="23"/>
  <c r="I54" i="23"/>
  <c r="I62" i="23"/>
  <c r="I70" i="23"/>
  <c r="I78" i="23"/>
  <c r="I86" i="23"/>
  <c r="I94" i="23"/>
  <c r="I23" i="23"/>
  <c r="I31" i="23"/>
  <c r="I39" i="23"/>
  <c r="I55" i="23"/>
  <c r="I63" i="23"/>
  <c r="I71" i="23"/>
  <c r="I79" i="23"/>
  <c r="I87" i="23"/>
  <c r="I47" i="23"/>
  <c r="I15" i="23"/>
  <c r="D9" i="24"/>
  <c r="C43" i="31"/>
  <c r="D4" i="24" s="1"/>
  <c r="D6" i="24"/>
  <c r="E17" i="24" l="1"/>
  <c r="E25" i="24"/>
  <c r="E33" i="24"/>
  <c r="E41" i="24"/>
  <c r="E49" i="24"/>
  <c r="E57" i="24"/>
  <c r="E65" i="24"/>
  <c r="E73" i="24"/>
  <c r="E81" i="24"/>
  <c r="E89" i="24"/>
  <c r="E18" i="24"/>
  <c r="E26" i="24"/>
  <c r="E34" i="24"/>
  <c r="E42" i="24"/>
  <c r="E50" i="24"/>
  <c r="E58" i="24"/>
  <c r="E66" i="24"/>
  <c r="E74" i="24"/>
  <c r="E82" i="24"/>
  <c r="E90" i="24"/>
  <c r="E93" i="24"/>
  <c r="E38" i="24"/>
  <c r="E62" i="24"/>
  <c r="E94" i="24"/>
  <c r="E31" i="24"/>
  <c r="E55" i="24"/>
  <c r="E79" i="24"/>
  <c r="E16" i="24"/>
  <c r="E56" i="24"/>
  <c r="E80" i="24"/>
  <c r="E19" i="24"/>
  <c r="E27" i="24"/>
  <c r="E35" i="24"/>
  <c r="E43" i="24"/>
  <c r="E51" i="24"/>
  <c r="E59" i="24"/>
  <c r="E67" i="24"/>
  <c r="E75" i="24"/>
  <c r="E83" i="24"/>
  <c r="E91" i="24"/>
  <c r="E20" i="24"/>
  <c r="E28" i="24"/>
  <c r="E36" i="24"/>
  <c r="E44" i="24"/>
  <c r="E52" i="24"/>
  <c r="E60" i="24"/>
  <c r="E68" i="24"/>
  <c r="E76" i="24"/>
  <c r="E84" i="24"/>
  <c r="E92" i="24"/>
  <c r="E61" i="24"/>
  <c r="E77" i="24"/>
  <c r="E22" i="24"/>
  <c r="E46" i="24"/>
  <c r="E70" i="24"/>
  <c r="E86" i="24"/>
  <c r="E23" i="24"/>
  <c r="E39" i="24"/>
  <c r="E63" i="24"/>
  <c r="E87" i="24"/>
  <c r="E32" i="24"/>
  <c r="E48" i="24"/>
  <c r="E64" i="24"/>
  <c r="E88" i="24"/>
  <c r="E21" i="24"/>
  <c r="E29" i="24"/>
  <c r="E37" i="24"/>
  <c r="E45" i="24"/>
  <c r="E53" i="24"/>
  <c r="E69" i="24"/>
  <c r="E85" i="24"/>
  <c r="E30" i="24"/>
  <c r="E54" i="24"/>
  <c r="E78" i="24"/>
  <c r="E15" i="24"/>
  <c r="E47" i="24"/>
  <c r="E71" i="24"/>
  <c r="E24" i="24"/>
  <c r="E40" i="24"/>
  <c r="E72" i="24"/>
  <c r="E14" i="24"/>
  <c r="E95" i="24" l="1"/>
  <c r="N6" i="33" l="1"/>
  <c r="H6" i="33"/>
  <c r="K6" i="33"/>
  <c r="H8" i="27" l="1"/>
  <c r="T87" i="32" l="1"/>
  <c r="B7" i="39" l="1"/>
  <c r="B6" i="39"/>
  <c r="G4" i="15" l="1"/>
  <c r="C88" i="37" l="1"/>
  <c r="M6" i="37"/>
  <c r="BL90" i="35"/>
  <c r="CR90" i="35" s="1"/>
  <c r="BL91" i="35"/>
  <c r="CR91" i="35" s="1"/>
  <c r="I7" i="37"/>
  <c r="V7" i="33" l="1"/>
  <c r="H4" i="21"/>
  <c r="F95" i="21" l="1"/>
  <c r="F87" i="21"/>
  <c r="F79" i="21"/>
  <c r="I79" i="21" s="1"/>
  <c r="F71" i="21"/>
  <c r="F63" i="21"/>
  <c r="F55" i="21"/>
  <c r="F47" i="21"/>
  <c r="F39" i="21"/>
  <c r="F31" i="21"/>
  <c r="F23" i="21"/>
  <c r="F15" i="21"/>
  <c r="F93" i="21"/>
  <c r="F77" i="21"/>
  <c r="I77" i="21" s="1"/>
  <c r="F61" i="21"/>
  <c r="F45" i="21"/>
  <c r="F29" i="21"/>
  <c r="F81" i="21"/>
  <c r="F41" i="21"/>
  <c r="F80" i="21"/>
  <c r="F32" i="21"/>
  <c r="F94" i="21"/>
  <c r="F86" i="21"/>
  <c r="F78" i="21"/>
  <c r="I78" i="21" s="1"/>
  <c r="F70" i="21"/>
  <c r="F62" i="21"/>
  <c r="F54" i="21"/>
  <c r="F46" i="21"/>
  <c r="F38" i="21"/>
  <c r="F30" i="21"/>
  <c r="F22" i="21"/>
  <c r="F85" i="21"/>
  <c r="F69" i="21"/>
  <c r="F53" i="21"/>
  <c r="F37" i="21"/>
  <c r="F21" i="21"/>
  <c r="F57" i="21"/>
  <c r="F33" i="21"/>
  <c r="F88" i="21"/>
  <c r="F48" i="21"/>
  <c r="F16" i="21"/>
  <c r="F72" i="21"/>
  <c r="F92" i="21"/>
  <c r="F84" i="21"/>
  <c r="F76" i="21"/>
  <c r="I76" i="21" s="1"/>
  <c r="F68" i="21"/>
  <c r="F60" i="21"/>
  <c r="F52" i="21"/>
  <c r="F44" i="21"/>
  <c r="F36" i="21"/>
  <c r="F28" i="21"/>
  <c r="F20" i="21"/>
  <c r="F90" i="21"/>
  <c r="F66" i="21"/>
  <c r="F58" i="21"/>
  <c r="F42" i="21"/>
  <c r="F18" i="21"/>
  <c r="F73" i="21"/>
  <c r="F25" i="21"/>
  <c r="F56" i="21"/>
  <c r="F24" i="21"/>
  <c r="F91" i="21"/>
  <c r="F83" i="21"/>
  <c r="F75" i="21"/>
  <c r="I75" i="21" s="1"/>
  <c r="F67" i="21"/>
  <c r="F59" i="21"/>
  <c r="F51" i="21"/>
  <c r="F43" i="21"/>
  <c r="F35" i="21"/>
  <c r="F27" i="21"/>
  <c r="F19" i="21"/>
  <c r="F82" i="21"/>
  <c r="F74" i="21"/>
  <c r="I74" i="21" s="1"/>
  <c r="F50" i="21"/>
  <c r="F34" i="21"/>
  <c r="F26" i="21"/>
  <c r="F89" i="21"/>
  <c r="F49" i="21"/>
  <c r="F17" i="21"/>
  <c r="F64" i="21"/>
  <c r="F40" i="21"/>
  <c r="F6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G30" i="21"/>
  <c r="G31" i="21"/>
  <c r="G32" i="21"/>
  <c r="G33" i="21"/>
  <c r="G34" i="21"/>
  <c r="G35" i="21"/>
  <c r="G36" i="21"/>
  <c r="G37" i="21"/>
  <c r="G38" i="21"/>
  <c r="G39" i="21"/>
  <c r="G40" i="21"/>
  <c r="G41" i="21"/>
  <c r="G42" i="21"/>
  <c r="G43" i="21"/>
  <c r="G44" i="21"/>
  <c r="G45" i="21"/>
  <c r="G46" i="21"/>
  <c r="G47" i="21"/>
  <c r="G48" i="21"/>
  <c r="G49" i="21"/>
  <c r="G50" i="21"/>
  <c r="G51" i="21"/>
  <c r="G52" i="21"/>
  <c r="G53" i="21"/>
  <c r="G54" i="21"/>
  <c r="G55" i="21"/>
  <c r="G56" i="21"/>
  <c r="G57" i="21"/>
  <c r="G58" i="21"/>
  <c r="G59" i="21"/>
  <c r="G60" i="21"/>
  <c r="G61" i="21"/>
  <c r="G62" i="21"/>
  <c r="G63" i="21"/>
  <c r="G64" i="21"/>
  <c r="G65" i="21"/>
  <c r="G66" i="21"/>
  <c r="G67" i="21"/>
  <c r="G68" i="21"/>
  <c r="G69" i="21"/>
  <c r="G70" i="21"/>
  <c r="G71" i="21"/>
  <c r="G72" i="21"/>
  <c r="G73" i="21"/>
  <c r="G80" i="21"/>
  <c r="G81" i="21"/>
  <c r="G82" i="21"/>
  <c r="G83" i="21"/>
  <c r="G84" i="21"/>
  <c r="G85" i="21"/>
  <c r="G86" i="21"/>
  <c r="G87" i="21"/>
  <c r="G88" i="21"/>
  <c r="G89" i="21"/>
  <c r="G90" i="21"/>
  <c r="G91" i="21"/>
  <c r="G92" i="21"/>
  <c r="G93" i="21"/>
  <c r="G94" i="21"/>
  <c r="G95" i="21"/>
  <c r="G15" i="21"/>
  <c r="E96" i="21"/>
  <c r="G96" i="21" s="1"/>
  <c r="B86" i="29" l="1"/>
  <c r="C13" i="29" s="1"/>
  <c r="C75" i="29" l="1"/>
  <c r="C84" i="29"/>
  <c r="C52" i="29"/>
  <c r="C28" i="29"/>
  <c r="C59" i="29"/>
  <c r="C68" i="29"/>
  <c r="C83" i="29"/>
  <c r="C67" i="29"/>
  <c r="C51" i="29"/>
  <c r="C20" i="29"/>
  <c r="C36" i="29"/>
  <c r="C76" i="29"/>
  <c r="C60" i="29"/>
  <c r="C44" i="29"/>
  <c r="C12" i="29"/>
  <c r="C19" i="29"/>
  <c r="C66" i="29"/>
  <c r="C42" i="29"/>
  <c r="C18" i="29"/>
  <c r="C81" i="29"/>
  <c r="C65" i="29"/>
  <c r="C41" i="29"/>
  <c r="C17" i="29"/>
  <c r="C72" i="29"/>
  <c r="C56" i="29"/>
  <c r="C48" i="29"/>
  <c r="C40" i="29"/>
  <c r="C32" i="29"/>
  <c r="C24" i="29"/>
  <c r="C16" i="29"/>
  <c r="C8" i="29"/>
  <c r="C71" i="29"/>
  <c r="C63" i="29"/>
  <c r="C55" i="29"/>
  <c r="C47" i="29"/>
  <c r="C39" i="29"/>
  <c r="C31" i="29"/>
  <c r="C23" i="29"/>
  <c r="C15" i="29"/>
  <c r="C7" i="29"/>
  <c r="C43" i="29"/>
  <c r="C27" i="29"/>
  <c r="C82" i="29"/>
  <c r="C58" i="29"/>
  <c r="C34" i="29"/>
  <c r="C73" i="29"/>
  <c r="C49" i="29"/>
  <c r="C25" i="29"/>
  <c r="C64" i="29"/>
  <c r="C78" i="29"/>
  <c r="C70" i="29"/>
  <c r="C62" i="29"/>
  <c r="C54" i="29"/>
  <c r="C46" i="29"/>
  <c r="C38" i="29"/>
  <c r="C30" i="29"/>
  <c r="C22" i="29"/>
  <c r="C14" i="29"/>
  <c r="C6" i="29"/>
  <c r="C35" i="29"/>
  <c r="C11" i="29"/>
  <c r="C74" i="29"/>
  <c r="C50" i="29"/>
  <c r="C26" i="29"/>
  <c r="C10" i="29"/>
  <c r="C57" i="29"/>
  <c r="C33" i="29"/>
  <c r="C9" i="29"/>
  <c r="C80" i="29"/>
  <c r="C79" i="29"/>
  <c r="C5" i="29"/>
  <c r="D5" i="29" s="1"/>
  <c r="C85" i="29"/>
  <c r="C77" i="29"/>
  <c r="C69" i="29"/>
  <c r="C61" i="29"/>
  <c r="C53" i="29"/>
  <c r="C45" i="29"/>
  <c r="C37" i="29"/>
  <c r="C29" i="29"/>
  <c r="C21" i="29"/>
  <c r="BL8" i="35"/>
  <c r="BL9" i="35"/>
  <c r="I10" i="45" s="1"/>
  <c r="BL10" i="35"/>
  <c r="I11" i="45" s="1"/>
  <c r="BL11" i="35"/>
  <c r="I12" i="45" s="1"/>
  <c r="BL12" i="35"/>
  <c r="I13" i="45" s="1"/>
  <c r="BL13" i="35"/>
  <c r="I14" i="45" s="1"/>
  <c r="BL14" i="35"/>
  <c r="I15" i="45" s="1"/>
  <c r="BL15" i="35"/>
  <c r="I16" i="45" s="1"/>
  <c r="BL16" i="35"/>
  <c r="BL17" i="35"/>
  <c r="I18" i="45" s="1"/>
  <c r="BL18" i="35"/>
  <c r="I19" i="45" s="1"/>
  <c r="BL19" i="35"/>
  <c r="I20" i="45" s="1"/>
  <c r="BL20" i="35"/>
  <c r="I21" i="45" s="1"/>
  <c r="BL21" i="35"/>
  <c r="I22" i="45" s="1"/>
  <c r="BL22" i="35"/>
  <c r="I23" i="45" s="1"/>
  <c r="BL23" i="35"/>
  <c r="I24" i="45" s="1"/>
  <c r="BL24" i="35"/>
  <c r="I25" i="45" s="1"/>
  <c r="BL25" i="35"/>
  <c r="I26" i="45" s="1"/>
  <c r="BL26" i="35"/>
  <c r="I27" i="45" s="1"/>
  <c r="BL27" i="35"/>
  <c r="I28" i="45" s="1"/>
  <c r="BL28" i="35"/>
  <c r="I29" i="45" s="1"/>
  <c r="BL29" i="35"/>
  <c r="I30" i="45" s="1"/>
  <c r="BL30" i="35"/>
  <c r="I31" i="45" s="1"/>
  <c r="BL31" i="35"/>
  <c r="I32" i="45" s="1"/>
  <c r="BL32" i="35"/>
  <c r="BL33" i="35"/>
  <c r="I34" i="45" s="1"/>
  <c r="BL34" i="35"/>
  <c r="I35" i="45" s="1"/>
  <c r="BL35" i="35"/>
  <c r="I36" i="45" s="1"/>
  <c r="BL36" i="35"/>
  <c r="I37" i="45" s="1"/>
  <c r="BL37" i="35"/>
  <c r="I38" i="45" s="1"/>
  <c r="BL38" i="35"/>
  <c r="I39" i="45" s="1"/>
  <c r="BL39" i="35"/>
  <c r="I40" i="45" s="1"/>
  <c r="BL40" i="35"/>
  <c r="BL41" i="35"/>
  <c r="I42" i="45" s="1"/>
  <c r="BL42" i="35"/>
  <c r="I43" i="45" s="1"/>
  <c r="BL43" i="35"/>
  <c r="I44" i="45" s="1"/>
  <c r="BL44" i="35"/>
  <c r="I45" i="45" s="1"/>
  <c r="BL45" i="35"/>
  <c r="I46" i="45" s="1"/>
  <c r="BL46" i="35"/>
  <c r="I47" i="45" s="1"/>
  <c r="BL47" i="35"/>
  <c r="I48" i="45" s="1"/>
  <c r="BL48" i="35"/>
  <c r="BL49" i="35"/>
  <c r="I50" i="45" s="1"/>
  <c r="BL50" i="35"/>
  <c r="I51" i="45" s="1"/>
  <c r="BL51" i="35"/>
  <c r="I52" i="45" s="1"/>
  <c r="BL52" i="35"/>
  <c r="I53" i="45" s="1"/>
  <c r="BL53" i="35"/>
  <c r="I54" i="45" s="1"/>
  <c r="BL54" i="35"/>
  <c r="I55" i="45" s="1"/>
  <c r="BL55" i="35"/>
  <c r="I56" i="45" s="1"/>
  <c r="BL56" i="35"/>
  <c r="BL57" i="35"/>
  <c r="I58" i="45" s="1"/>
  <c r="BL58" i="35"/>
  <c r="I59" i="45" s="1"/>
  <c r="BL59" i="35"/>
  <c r="I60" i="45" s="1"/>
  <c r="BL60" i="35"/>
  <c r="I61" i="45" s="1"/>
  <c r="BL61" i="35"/>
  <c r="I62" i="45" s="1"/>
  <c r="BL62" i="35"/>
  <c r="I63" i="45" s="1"/>
  <c r="BL63" i="35"/>
  <c r="I64" i="45" s="1"/>
  <c r="BL64" i="35"/>
  <c r="BL65" i="35"/>
  <c r="I66" i="45" s="1"/>
  <c r="BL66" i="35"/>
  <c r="I67" i="45" s="1"/>
  <c r="BL67" i="35"/>
  <c r="I68" i="45" s="1"/>
  <c r="BL68" i="35"/>
  <c r="I69" i="45" s="1"/>
  <c r="BL69" i="35"/>
  <c r="I70" i="45" s="1"/>
  <c r="BL70" i="35"/>
  <c r="I71" i="45" s="1"/>
  <c r="BL71" i="35"/>
  <c r="I72" i="45" s="1"/>
  <c r="BL72" i="35"/>
  <c r="BL73" i="35"/>
  <c r="I74" i="45" s="1"/>
  <c r="BL74" i="35"/>
  <c r="I75" i="45" s="1"/>
  <c r="BL75" i="35"/>
  <c r="I76" i="45" s="1"/>
  <c r="BL76" i="35"/>
  <c r="I77" i="45" s="1"/>
  <c r="BL77" i="35"/>
  <c r="I78" i="45" s="1"/>
  <c r="BL78" i="35"/>
  <c r="I79" i="45" s="1"/>
  <c r="BL79" i="35"/>
  <c r="I80" i="45" s="1"/>
  <c r="BL80" i="35"/>
  <c r="BL81" i="35"/>
  <c r="I82" i="45" s="1"/>
  <c r="BL82" i="35"/>
  <c r="I83" i="45" s="1"/>
  <c r="BL83" i="35"/>
  <c r="I84" i="45" s="1"/>
  <c r="BL84" i="35"/>
  <c r="I85" i="45" s="1"/>
  <c r="BL85" i="35"/>
  <c r="I86" i="45" s="1"/>
  <c r="BL86" i="35"/>
  <c r="I87" i="45" s="1"/>
  <c r="K6" i="36"/>
  <c r="J8" i="45" s="1"/>
  <c r="K8" i="45" s="1"/>
  <c r="K7" i="36"/>
  <c r="J9" i="45" s="1"/>
  <c r="K8" i="36"/>
  <c r="J10" i="45" s="1"/>
  <c r="K9" i="36"/>
  <c r="J11" i="45" s="1"/>
  <c r="K10" i="36"/>
  <c r="J12" i="45" s="1"/>
  <c r="K11" i="36"/>
  <c r="J13" i="45" s="1"/>
  <c r="K12" i="36"/>
  <c r="J14" i="45" s="1"/>
  <c r="K13" i="36"/>
  <c r="J15" i="45" s="1"/>
  <c r="K14" i="36"/>
  <c r="J16" i="45" s="1"/>
  <c r="K15" i="36"/>
  <c r="K16" i="36"/>
  <c r="J18" i="45" s="1"/>
  <c r="K17" i="36"/>
  <c r="J19" i="45" s="1"/>
  <c r="K18" i="36"/>
  <c r="J20" i="45" s="1"/>
  <c r="K19" i="36"/>
  <c r="J21" i="45" s="1"/>
  <c r="K20" i="36"/>
  <c r="J22" i="45" s="1"/>
  <c r="K21" i="36"/>
  <c r="J23" i="45" s="1"/>
  <c r="K22" i="36"/>
  <c r="J24" i="45" s="1"/>
  <c r="K23" i="36"/>
  <c r="J25" i="45" s="1"/>
  <c r="K24" i="36"/>
  <c r="J26" i="45" s="1"/>
  <c r="K25" i="36"/>
  <c r="J27" i="45" s="1"/>
  <c r="K26" i="36"/>
  <c r="J28" i="45" s="1"/>
  <c r="K27" i="36"/>
  <c r="J29" i="45" s="1"/>
  <c r="K28" i="36"/>
  <c r="J30" i="45" s="1"/>
  <c r="K29" i="36"/>
  <c r="J31" i="45" s="1"/>
  <c r="K30" i="36"/>
  <c r="J32" i="45" s="1"/>
  <c r="K31" i="36"/>
  <c r="K32" i="36"/>
  <c r="J34" i="45" s="1"/>
  <c r="K33" i="36"/>
  <c r="J35" i="45" s="1"/>
  <c r="K34" i="36"/>
  <c r="J36" i="45" s="1"/>
  <c r="K35" i="36"/>
  <c r="J37" i="45" s="1"/>
  <c r="K36" i="36"/>
  <c r="J38" i="45" s="1"/>
  <c r="K37" i="36"/>
  <c r="J39" i="45" s="1"/>
  <c r="K38" i="36"/>
  <c r="J40" i="45" s="1"/>
  <c r="K39" i="36"/>
  <c r="J41" i="45" s="1"/>
  <c r="K40" i="36"/>
  <c r="J42" i="45" s="1"/>
  <c r="K41" i="36"/>
  <c r="J43" i="45" s="1"/>
  <c r="K42" i="36"/>
  <c r="J44" i="45" s="1"/>
  <c r="K43" i="36"/>
  <c r="J45" i="45" s="1"/>
  <c r="K44" i="36"/>
  <c r="J46" i="45" s="1"/>
  <c r="K45" i="36"/>
  <c r="J47" i="45" s="1"/>
  <c r="K46" i="36"/>
  <c r="J48" i="45" s="1"/>
  <c r="K47" i="36"/>
  <c r="K48" i="36"/>
  <c r="J50" i="45" s="1"/>
  <c r="K49" i="36"/>
  <c r="J51" i="45" s="1"/>
  <c r="K50" i="36"/>
  <c r="J52" i="45" s="1"/>
  <c r="K51" i="36"/>
  <c r="J53" i="45" s="1"/>
  <c r="K52" i="36"/>
  <c r="J54" i="45" s="1"/>
  <c r="K53" i="36"/>
  <c r="J55" i="45" s="1"/>
  <c r="K54" i="36"/>
  <c r="J56" i="45" s="1"/>
  <c r="K55" i="36"/>
  <c r="J57" i="45" s="1"/>
  <c r="K56" i="36"/>
  <c r="J58" i="45" s="1"/>
  <c r="K57" i="36"/>
  <c r="J59" i="45" s="1"/>
  <c r="K58" i="36"/>
  <c r="J60" i="45" s="1"/>
  <c r="K59" i="36"/>
  <c r="J61" i="45" s="1"/>
  <c r="K60" i="36"/>
  <c r="J62" i="45" s="1"/>
  <c r="K61" i="36"/>
  <c r="J63" i="45" s="1"/>
  <c r="K62" i="36"/>
  <c r="J64" i="45" s="1"/>
  <c r="K63" i="36"/>
  <c r="K64" i="36"/>
  <c r="J66" i="45" s="1"/>
  <c r="K65" i="36"/>
  <c r="J67" i="45" s="1"/>
  <c r="K66" i="36"/>
  <c r="J68" i="45" s="1"/>
  <c r="K67" i="36"/>
  <c r="J69" i="45" s="1"/>
  <c r="K68" i="36"/>
  <c r="J70" i="45" s="1"/>
  <c r="K69" i="36"/>
  <c r="J71" i="45" s="1"/>
  <c r="K70" i="36"/>
  <c r="J72" i="45" s="1"/>
  <c r="K71" i="36"/>
  <c r="J73" i="45" s="1"/>
  <c r="K72" i="36"/>
  <c r="J74" i="45" s="1"/>
  <c r="K73" i="36"/>
  <c r="J75" i="45" s="1"/>
  <c r="K74" i="36"/>
  <c r="J76" i="45" s="1"/>
  <c r="K75" i="36"/>
  <c r="J77" i="45" s="1"/>
  <c r="K76" i="36"/>
  <c r="J78" i="45" s="1"/>
  <c r="K77" i="36"/>
  <c r="J79" i="45" s="1"/>
  <c r="K78" i="36"/>
  <c r="J80" i="45" s="1"/>
  <c r="K79" i="36"/>
  <c r="K80" i="36"/>
  <c r="J82" i="45" s="1"/>
  <c r="K81" i="36"/>
  <c r="J83" i="45" s="1"/>
  <c r="K82" i="36"/>
  <c r="J84" i="45" s="1"/>
  <c r="K83" i="36"/>
  <c r="J85" i="45" s="1"/>
  <c r="K84" i="36"/>
  <c r="J86" i="45" s="1"/>
  <c r="K85" i="36"/>
  <c r="J87" i="45" s="1"/>
  <c r="K5" i="36"/>
  <c r="J7" i="45" s="1"/>
  <c r="J87" i="36"/>
  <c r="I87" i="36"/>
  <c r="H87" i="36"/>
  <c r="G87" i="36"/>
  <c r="F87" i="36"/>
  <c r="E87" i="36"/>
  <c r="D87" i="36"/>
  <c r="C87" i="36"/>
  <c r="CP92" i="35"/>
  <c r="CO92" i="35"/>
  <c r="CN92" i="35"/>
  <c r="CM92" i="35"/>
  <c r="CL92" i="35"/>
  <c r="CK92" i="35"/>
  <c r="CJ92" i="35"/>
  <c r="CI92" i="35"/>
  <c r="CH92" i="35"/>
  <c r="CG92" i="35"/>
  <c r="CF92" i="35"/>
  <c r="CE92" i="35"/>
  <c r="CD92" i="35"/>
  <c r="CB92" i="35"/>
  <c r="CA92" i="35"/>
  <c r="BZ92" i="35"/>
  <c r="BY92" i="35"/>
  <c r="BX92" i="35"/>
  <c r="BW92" i="35"/>
  <c r="BV92" i="35"/>
  <c r="BI92" i="35"/>
  <c r="BU92" i="35"/>
  <c r="BT92" i="35"/>
  <c r="BS92" i="35"/>
  <c r="BR92" i="35"/>
  <c r="BQ92" i="35"/>
  <c r="BP92" i="35"/>
  <c r="BO92" i="35"/>
  <c r="BN92" i="35"/>
  <c r="BK92" i="35"/>
  <c r="BJ92" i="35"/>
  <c r="BH92" i="35"/>
  <c r="BG92" i="35"/>
  <c r="BF92" i="35"/>
  <c r="BE92" i="35"/>
  <c r="BD92" i="35"/>
  <c r="BC92" i="35"/>
  <c r="BB92" i="35"/>
  <c r="BA92" i="35"/>
  <c r="AZ92" i="35"/>
  <c r="AY92" i="35"/>
  <c r="AX92" i="35"/>
  <c r="AW92" i="35"/>
  <c r="AV92" i="35"/>
  <c r="AU92" i="35"/>
  <c r="AT92" i="35"/>
  <c r="AS92" i="35"/>
  <c r="AR92" i="35"/>
  <c r="AQ92" i="35"/>
  <c r="AP92" i="35"/>
  <c r="AO92" i="35"/>
  <c r="AN92" i="35"/>
  <c r="AM92" i="35"/>
  <c r="AL92" i="35"/>
  <c r="AK92" i="35"/>
  <c r="AJ92" i="35"/>
  <c r="AI92" i="35"/>
  <c r="AH92" i="35"/>
  <c r="AG92" i="35"/>
  <c r="AF92" i="35"/>
  <c r="AE92" i="35"/>
  <c r="AD92" i="35"/>
  <c r="AC92" i="35"/>
  <c r="AB92" i="35"/>
  <c r="AA92" i="35"/>
  <c r="Z92" i="35"/>
  <c r="Y92" i="35"/>
  <c r="X92" i="35"/>
  <c r="W92" i="35"/>
  <c r="V92" i="35"/>
  <c r="U92" i="35"/>
  <c r="T92" i="35"/>
  <c r="S92" i="35"/>
  <c r="R92" i="35"/>
  <c r="Q92" i="35"/>
  <c r="P92" i="35"/>
  <c r="O92" i="35"/>
  <c r="N92" i="35"/>
  <c r="M92" i="35"/>
  <c r="L92" i="35"/>
  <c r="K92" i="35"/>
  <c r="J92" i="35"/>
  <c r="I92" i="35"/>
  <c r="H92" i="35"/>
  <c r="G92" i="35"/>
  <c r="F92" i="35"/>
  <c r="E92" i="35"/>
  <c r="D92" i="35"/>
  <c r="C92" i="35"/>
  <c r="B92" i="35"/>
  <c r="CP87" i="35"/>
  <c r="CO87" i="35"/>
  <c r="CN87" i="35"/>
  <c r="CM87" i="35"/>
  <c r="CL87" i="35"/>
  <c r="CK87" i="35"/>
  <c r="CJ87" i="35"/>
  <c r="CI87" i="35"/>
  <c r="CH87" i="35"/>
  <c r="CG87" i="35"/>
  <c r="CF87" i="35"/>
  <c r="CE87" i="35"/>
  <c r="CD87" i="35"/>
  <c r="CB87" i="35"/>
  <c r="CA87" i="35"/>
  <c r="BZ87" i="35"/>
  <c r="BY87" i="35"/>
  <c r="BX87" i="35"/>
  <c r="BW87" i="35"/>
  <c r="BV87" i="35"/>
  <c r="BI87" i="35"/>
  <c r="BU87" i="35"/>
  <c r="BT87" i="35"/>
  <c r="BS87" i="35"/>
  <c r="BR87" i="35"/>
  <c r="BQ87" i="35"/>
  <c r="BP87" i="35"/>
  <c r="BO87" i="35"/>
  <c r="BN87" i="35"/>
  <c r="BK87" i="35"/>
  <c r="BJ87" i="35"/>
  <c r="BH87" i="35"/>
  <c r="BG87" i="35"/>
  <c r="BF87" i="35"/>
  <c r="BE87" i="35"/>
  <c r="BD87" i="35"/>
  <c r="BC87" i="35"/>
  <c r="BB87" i="35"/>
  <c r="BA87" i="35"/>
  <c r="AZ87" i="35"/>
  <c r="AY87" i="35"/>
  <c r="AX87" i="35"/>
  <c r="AW87" i="35"/>
  <c r="AV87" i="35"/>
  <c r="AU87" i="35"/>
  <c r="AT87" i="35"/>
  <c r="AS87" i="35"/>
  <c r="AR87" i="35"/>
  <c r="AQ87" i="35"/>
  <c r="AP87" i="35"/>
  <c r="AO87" i="35"/>
  <c r="AN87" i="35"/>
  <c r="AM87" i="35"/>
  <c r="AL87" i="35"/>
  <c r="AK87" i="35"/>
  <c r="AJ87" i="35"/>
  <c r="AI87" i="35"/>
  <c r="AH87" i="35"/>
  <c r="AG87" i="35"/>
  <c r="AF87" i="35"/>
  <c r="AE87" i="35"/>
  <c r="AD87" i="35"/>
  <c r="AC87" i="35"/>
  <c r="AB87" i="35"/>
  <c r="AA87" i="35"/>
  <c r="Z87" i="35"/>
  <c r="Y87" i="35"/>
  <c r="X87" i="35"/>
  <c r="W87" i="35"/>
  <c r="V87" i="35"/>
  <c r="U87" i="35"/>
  <c r="T87" i="35"/>
  <c r="S87" i="35"/>
  <c r="R87" i="35"/>
  <c r="Q87" i="35"/>
  <c r="P87" i="35"/>
  <c r="O87" i="35"/>
  <c r="N87" i="35"/>
  <c r="M87" i="35"/>
  <c r="L87" i="35"/>
  <c r="K87" i="35"/>
  <c r="J87" i="35"/>
  <c r="I87" i="35"/>
  <c r="H87" i="35"/>
  <c r="G87" i="35"/>
  <c r="F87" i="35"/>
  <c r="E87" i="35"/>
  <c r="D87" i="35"/>
  <c r="C87" i="35"/>
  <c r="B87" i="35"/>
  <c r="K87" i="45" l="1"/>
  <c r="K83" i="45"/>
  <c r="K79" i="45"/>
  <c r="K75" i="45"/>
  <c r="K71" i="45"/>
  <c r="K67" i="45"/>
  <c r="K63" i="45"/>
  <c r="K59" i="45"/>
  <c r="K55" i="45"/>
  <c r="K51" i="45"/>
  <c r="K47" i="45"/>
  <c r="K43" i="45"/>
  <c r="K39" i="45"/>
  <c r="K35" i="45"/>
  <c r="K31" i="45"/>
  <c r="K27" i="45"/>
  <c r="K23" i="45"/>
  <c r="K19" i="45"/>
  <c r="K15" i="45"/>
  <c r="K11" i="45"/>
  <c r="K86" i="45"/>
  <c r="K82" i="45"/>
  <c r="K78" i="45"/>
  <c r="K74" i="45"/>
  <c r="K70" i="45"/>
  <c r="K66" i="45"/>
  <c r="K62" i="45"/>
  <c r="K58" i="45"/>
  <c r="K54" i="45"/>
  <c r="K50" i="45"/>
  <c r="K46" i="45"/>
  <c r="K42" i="45"/>
  <c r="K38" i="45"/>
  <c r="K34" i="45"/>
  <c r="K30" i="45"/>
  <c r="K26" i="45"/>
  <c r="K22" i="45"/>
  <c r="K18" i="45"/>
  <c r="K14" i="45"/>
  <c r="K10" i="45"/>
  <c r="N81" i="28"/>
  <c r="J81" i="45"/>
  <c r="N65" i="28"/>
  <c r="J65" i="45"/>
  <c r="N49" i="28"/>
  <c r="J49" i="45"/>
  <c r="N33" i="28"/>
  <c r="J33" i="45"/>
  <c r="J88" i="45" s="1"/>
  <c r="J89" i="45" s="1"/>
  <c r="N17" i="28"/>
  <c r="J17" i="45"/>
  <c r="K85" i="45"/>
  <c r="M81" i="28"/>
  <c r="O81" i="28" s="1"/>
  <c r="I81" i="45"/>
  <c r="K77" i="45"/>
  <c r="M73" i="28"/>
  <c r="I73" i="45"/>
  <c r="K73" i="45" s="1"/>
  <c r="K69" i="45"/>
  <c r="M65" i="28"/>
  <c r="I65" i="45"/>
  <c r="K61" i="45"/>
  <c r="M57" i="28"/>
  <c r="I57" i="45"/>
  <c r="K57" i="45" s="1"/>
  <c r="K53" i="45"/>
  <c r="M49" i="28"/>
  <c r="O49" i="28" s="1"/>
  <c r="I49" i="45"/>
  <c r="K45" i="45"/>
  <c r="M41" i="28"/>
  <c r="I41" i="45"/>
  <c r="K41" i="45" s="1"/>
  <c r="K37" i="45"/>
  <c r="M33" i="28"/>
  <c r="I33" i="45"/>
  <c r="K29" i="45"/>
  <c r="K25" i="45"/>
  <c r="K21" i="45"/>
  <c r="M17" i="28"/>
  <c r="I17" i="45"/>
  <c r="K17" i="45" s="1"/>
  <c r="K13" i="45"/>
  <c r="M9" i="28"/>
  <c r="I9" i="45"/>
  <c r="K9" i="45" s="1"/>
  <c r="BL87" i="35"/>
  <c r="I88" i="45" s="1"/>
  <c r="I89" i="45" s="1"/>
  <c r="K7" i="45"/>
  <c r="K84" i="45"/>
  <c r="K80" i="45"/>
  <c r="K76" i="45"/>
  <c r="K72" i="45"/>
  <c r="K68" i="45"/>
  <c r="K64" i="45"/>
  <c r="K60" i="45"/>
  <c r="K56" i="45"/>
  <c r="K52" i="45"/>
  <c r="K48" i="45"/>
  <c r="K44" i="45"/>
  <c r="K40" i="45"/>
  <c r="K36" i="45"/>
  <c r="K32" i="45"/>
  <c r="K28" i="45"/>
  <c r="K24" i="45"/>
  <c r="K20" i="45"/>
  <c r="K16" i="45"/>
  <c r="K12" i="45"/>
  <c r="N87" i="28"/>
  <c r="W87" i="33"/>
  <c r="J87" i="37"/>
  <c r="N83" i="28"/>
  <c r="W83" i="33"/>
  <c r="J83" i="37"/>
  <c r="N79" i="28"/>
  <c r="W79" i="33"/>
  <c r="J79" i="37"/>
  <c r="N75" i="28"/>
  <c r="W75" i="33"/>
  <c r="J75" i="37"/>
  <c r="N71" i="28"/>
  <c r="W71" i="33"/>
  <c r="J71" i="37"/>
  <c r="N67" i="28"/>
  <c r="W67" i="33"/>
  <c r="J67" i="37"/>
  <c r="N63" i="28"/>
  <c r="W63" i="33"/>
  <c r="J63" i="37"/>
  <c r="N59" i="28"/>
  <c r="W59" i="33"/>
  <c r="J59" i="37"/>
  <c r="N55" i="28"/>
  <c r="W55" i="33"/>
  <c r="J55" i="37"/>
  <c r="N51" i="28"/>
  <c r="W51" i="33"/>
  <c r="J51" i="37"/>
  <c r="N47" i="28"/>
  <c r="W47" i="33"/>
  <c r="J47" i="37"/>
  <c r="N43" i="28"/>
  <c r="W43" i="33"/>
  <c r="J43" i="37"/>
  <c r="N39" i="28"/>
  <c r="W39" i="33"/>
  <c r="J39" i="37"/>
  <c r="N35" i="28"/>
  <c r="W35" i="33"/>
  <c r="J35" i="37"/>
  <c r="N31" i="28"/>
  <c r="W31" i="33"/>
  <c r="J31" i="37"/>
  <c r="N27" i="28"/>
  <c r="W27" i="33"/>
  <c r="J27" i="37"/>
  <c r="N23" i="28"/>
  <c r="W23" i="33"/>
  <c r="J23" i="37"/>
  <c r="N19" i="28"/>
  <c r="W19" i="33"/>
  <c r="J19" i="37"/>
  <c r="N15" i="28"/>
  <c r="W15" i="33"/>
  <c r="J15" i="37"/>
  <c r="N11" i="28"/>
  <c r="W11" i="33"/>
  <c r="J11" i="37"/>
  <c r="N86" i="28"/>
  <c r="W86" i="33"/>
  <c r="J86" i="37"/>
  <c r="W82" i="33"/>
  <c r="J82" i="37"/>
  <c r="N78" i="28"/>
  <c r="W78" i="33"/>
  <c r="J78" i="37"/>
  <c r="W74" i="33"/>
  <c r="J74" i="37"/>
  <c r="N70" i="28"/>
  <c r="W70" i="33"/>
  <c r="J70" i="37"/>
  <c r="W66" i="33"/>
  <c r="J66" i="37"/>
  <c r="N62" i="28"/>
  <c r="W62" i="33"/>
  <c r="J62" i="37"/>
  <c r="W58" i="33"/>
  <c r="J58" i="37"/>
  <c r="N54" i="28"/>
  <c r="W54" i="33"/>
  <c r="J54" i="37"/>
  <c r="W50" i="33"/>
  <c r="J50" i="37"/>
  <c r="N46" i="28"/>
  <c r="W46" i="33"/>
  <c r="J46" i="37"/>
  <c r="W42" i="33"/>
  <c r="J42" i="37"/>
  <c r="N38" i="28"/>
  <c r="W38" i="33"/>
  <c r="J38" i="37"/>
  <c r="W34" i="33"/>
  <c r="J34" i="37"/>
  <c r="N30" i="28"/>
  <c r="W30" i="33"/>
  <c r="J30" i="37"/>
  <c r="W26" i="33"/>
  <c r="J26" i="37"/>
  <c r="N22" i="28"/>
  <c r="W22" i="33"/>
  <c r="J22" i="37"/>
  <c r="W18" i="33"/>
  <c r="J18" i="37"/>
  <c r="N14" i="28"/>
  <c r="W14" i="33"/>
  <c r="J14" i="37"/>
  <c r="W10" i="33"/>
  <c r="J10" i="37"/>
  <c r="N74" i="28"/>
  <c r="N58" i="28"/>
  <c r="N42" i="28"/>
  <c r="N26" i="28"/>
  <c r="N10" i="28"/>
  <c r="N85" i="28"/>
  <c r="W85" i="33"/>
  <c r="J85" i="37"/>
  <c r="W81" i="33"/>
  <c r="J81" i="37"/>
  <c r="N77" i="28"/>
  <c r="W77" i="33"/>
  <c r="J77" i="37"/>
  <c r="W73" i="33"/>
  <c r="J73" i="37"/>
  <c r="N69" i="28"/>
  <c r="W69" i="33"/>
  <c r="J69" i="37"/>
  <c r="W65" i="33"/>
  <c r="J65" i="37"/>
  <c r="N61" i="28"/>
  <c r="W61" i="33"/>
  <c r="J61" i="37"/>
  <c r="W57" i="33"/>
  <c r="J57" i="37"/>
  <c r="N53" i="28"/>
  <c r="W53" i="33"/>
  <c r="J53" i="37"/>
  <c r="W49" i="33"/>
  <c r="J49" i="37"/>
  <c r="N45" i="28"/>
  <c r="W45" i="33"/>
  <c r="J45" i="37"/>
  <c r="W41" i="33"/>
  <c r="J41" i="37"/>
  <c r="N37" i="28"/>
  <c r="W37" i="33"/>
  <c r="J37" i="37"/>
  <c r="W33" i="33"/>
  <c r="J33" i="37"/>
  <c r="N29" i="28"/>
  <c r="W29" i="33"/>
  <c r="J29" i="37"/>
  <c r="W25" i="33"/>
  <c r="J25" i="37"/>
  <c r="N21" i="28"/>
  <c r="W21" i="33"/>
  <c r="J21" i="37"/>
  <c r="W17" i="33"/>
  <c r="J17" i="37"/>
  <c r="N13" i="28"/>
  <c r="W13" i="33"/>
  <c r="J13" i="37"/>
  <c r="W9" i="33"/>
  <c r="J9" i="37"/>
  <c r="N73" i="28"/>
  <c r="N57" i="28"/>
  <c r="N41" i="28"/>
  <c r="O41" i="28" s="1"/>
  <c r="N25" i="28"/>
  <c r="N9" i="28"/>
  <c r="K87" i="36"/>
  <c r="N7" i="28"/>
  <c r="W7" i="33"/>
  <c r="J7" i="37"/>
  <c r="N84" i="28"/>
  <c r="W84" i="33"/>
  <c r="J84" i="37"/>
  <c r="N80" i="28"/>
  <c r="W80" i="33"/>
  <c r="J80" i="37"/>
  <c r="N76" i="28"/>
  <c r="W76" i="33"/>
  <c r="J76" i="37"/>
  <c r="N72" i="28"/>
  <c r="W72" i="33"/>
  <c r="J72" i="37"/>
  <c r="N68" i="28"/>
  <c r="W68" i="33"/>
  <c r="J68" i="37"/>
  <c r="N64" i="28"/>
  <c r="W64" i="33"/>
  <c r="J64" i="37"/>
  <c r="N60" i="28"/>
  <c r="W60" i="33"/>
  <c r="J60" i="37"/>
  <c r="N56" i="28"/>
  <c r="W56" i="33"/>
  <c r="J56" i="37"/>
  <c r="N52" i="28"/>
  <c r="W52" i="33"/>
  <c r="J52" i="37"/>
  <c r="N48" i="28"/>
  <c r="W48" i="33"/>
  <c r="J48" i="37"/>
  <c r="N44" i="28"/>
  <c r="W44" i="33"/>
  <c r="J44" i="37"/>
  <c r="N40" i="28"/>
  <c r="W40" i="33"/>
  <c r="J40" i="37"/>
  <c r="N36" i="28"/>
  <c r="W36" i="33"/>
  <c r="J36" i="37"/>
  <c r="N32" i="28"/>
  <c r="W32" i="33"/>
  <c r="J32" i="37"/>
  <c r="N28" i="28"/>
  <c r="W28" i="33"/>
  <c r="J28" i="37"/>
  <c r="N24" i="28"/>
  <c r="W24" i="33"/>
  <c r="J24" i="37"/>
  <c r="N20" i="28"/>
  <c r="W20" i="33"/>
  <c r="J20" i="37"/>
  <c r="N16" i="28"/>
  <c r="W16" i="33"/>
  <c r="J16" i="37"/>
  <c r="N12" i="28"/>
  <c r="W12" i="33"/>
  <c r="J12" i="37"/>
  <c r="N8" i="28"/>
  <c r="W8" i="33"/>
  <c r="J8" i="37"/>
  <c r="N82" i="28"/>
  <c r="N66" i="28"/>
  <c r="N50" i="28"/>
  <c r="N34" i="28"/>
  <c r="N18" i="28"/>
  <c r="V8" i="33"/>
  <c r="X8" i="33" s="1"/>
  <c r="I8" i="37"/>
  <c r="M32" i="28"/>
  <c r="O32" i="28" s="1"/>
  <c r="V32" i="33"/>
  <c r="X32" i="33" s="1"/>
  <c r="I32" i="37"/>
  <c r="M87" i="28"/>
  <c r="V87" i="33"/>
  <c r="X87" i="33" s="1"/>
  <c r="I87" i="37"/>
  <c r="M79" i="28"/>
  <c r="V79" i="33"/>
  <c r="I79" i="37"/>
  <c r="M71" i="28"/>
  <c r="O71" i="28" s="1"/>
  <c r="V71" i="33"/>
  <c r="X71" i="33" s="1"/>
  <c r="I71" i="37"/>
  <c r="M63" i="28"/>
  <c r="V63" i="33"/>
  <c r="X63" i="33" s="1"/>
  <c r="I63" i="37"/>
  <c r="K63" i="37" s="1"/>
  <c r="M55" i="28"/>
  <c r="V55" i="33"/>
  <c r="X55" i="33" s="1"/>
  <c r="I55" i="37"/>
  <c r="M47" i="28"/>
  <c r="V47" i="33"/>
  <c r="I47" i="37"/>
  <c r="M39" i="28"/>
  <c r="O39" i="28" s="1"/>
  <c r="V39" i="33"/>
  <c r="X39" i="33" s="1"/>
  <c r="I39" i="37"/>
  <c r="M31" i="28"/>
  <c r="V31" i="33"/>
  <c r="X31" i="33" s="1"/>
  <c r="I31" i="37"/>
  <c r="K31" i="37" s="1"/>
  <c r="M23" i="28"/>
  <c r="V23" i="33"/>
  <c r="X23" i="33" s="1"/>
  <c r="I23" i="37"/>
  <c r="M15" i="28"/>
  <c r="V15" i="33"/>
  <c r="I15" i="37"/>
  <c r="M72" i="28"/>
  <c r="V72" i="33"/>
  <c r="X72" i="33" s="1"/>
  <c r="I72" i="37"/>
  <c r="M16" i="28"/>
  <c r="O16" i="28" s="1"/>
  <c r="V16" i="33"/>
  <c r="X16" i="33" s="1"/>
  <c r="I16" i="37"/>
  <c r="M86" i="28"/>
  <c r="V86" i="33"/>
  <c r="X86" i="33" s="1"/>
  <c r="I86" i="37"/>
  <c r="M78" i="28"/>
  <c r="V78" i="33"/>
  <c r="I78" i="37"/>
  <c r="M70" i="28"/>
  <c r="V70" i="33"/>
  <c r="I70" i="37"/>
  <c r="M62" i="28"/>
  <c r="V62" i="33"/>
  <c r="I62" i="37"/>
  <c r="M54" i="28"/>
  <c r="V54" i="33"/>
  <c r="I54" i="37"/>
  <c r="M46" i="28"/>
  <c r="O46" i="28" s="1"/>
  <c r="V46" i="33"/>
  <c r="I46" i="37"/>
  <c r="M38" i="28"/>
  <c r="V38" i="33"/>
  <c r="I38" i="37"/>
  <c r="M30" i="28"/>
  <c r="V30" i="33"/>
  <c r="X30" i="33" s="1"/>
  <c r="I30" i="37"/>
  <c r="M22" i="28"/>
  <c r="V22" i="33"/>
  <c r="X22" i="33" s="1"/>
  <c r="I22" i="37"/>
  <c r="M14" i="28"/>
  <c r="V14" i="33"/>
  <c r="I14" i="37"/>
  <c r="M64" i="28"/>
  <c r="O64" i="28" s="1"/>
  <c r="V64" i="33"/>
  <c r="I64" i="37"/>
  <c r="M85" i="28"/>
  <c r="V85" i="33"/>
  <c r="X85" i="33" s="1"/>
  <c r="I85" i="37"/>
  <c r="M77" i="28"/>
  <c r="V77" i="33"/>
  <c r="X77" i="33" s="1"/>
  <c r="I77" i="37"/>
  <c r="M69" i="28"/>
  <c r="V69" i="33"/>
  <c r="I69" i="37"/>
  <c r="M61" i="28"/>
  <c r="V61" i="33"/>
  <c r="I61" i="37"/>
  <c r="M53" i="28"/>
  <c r="V53" i="33"/>
  <c r="I53" i="37"/>
  <c r="M45" i="28"/>
  <c r="V45" i="33"/>
  <c r="I45" i="37"/>
  <c r="M37" i="28"/>
  <c r="V37" i="33"/>
  <c r="I37" i="37"/>
  <c r="M29" i="28"/>
  <c r="V29" i="33"/>
  <c r="I29" i="37"/>
  <c r="M21" i="28"/>
  <c r="V21" i="33"/>
  <c r="X21" i="33" s="1"/>
  <c r="I21" i="37"/>
  <c r="M13" i="28"/>
  <c r="V13" i="33"/>
  <c r="X13" i="33" s="1"/>
  <c r="I13" i="37"/>
  <c r="M56" i="28"/>
  <c r="V56" i="33"/>
  <c r="X56" i="33" s="1"/>
  <c r="I56" i="37"/>
  <c r="K56" i="37" s="1"/>
  <c r="M84" i="28"/>
  <c r="O84" i="28" s="1"/>
  <c r="V84" i="33"/>
  <c r="X84" i="33" s="1"/>
  <c r="I84" i="37"/>
  <c r="M76" i="28"/>
  <c r="V76" i="33"/>
  <c r="I76" i="37"/>
  <c r="M68" i="28"/>
  <c r="V68" i="33"/>
  <c r="I68" i="37"/>
  <c r="M60" i="28"/>
  <c r="V60" i="33"/>
  <c r="I60" i="37"/>
  <c r="M52" i="28"/>
  <c r="V52" i="33"/>
  <c r="I52" i="37"/>
  <c r="M44" i="28"/>
  <c r="V44" i="33"/>
  <c r="I44" i="37"/>
  <c r="M36" i="28"/>
  <c r="V36" i="33"/>
  <c r="I36" i="37"/>
  <c r="M28" i="28"/>
  <c r="V28" i="33"/>
  <c r="I28" i="37"/>
  <c r="M20" i="28"/>
  <c r="O20" i="28" s="1"/>
  <c r="V20" i="33"/>
  <c r="X20" i="33" s="1"/>
  <c r="I20" i="37"/>
  <c r="M12" i="28"/>
  <c r="V12" i="33"/>
  <c r="I12" i="37"/>
  <c r="M40" i="28"/>
  <c r="V40" i="33"/>
  <c r="X40" i="33" s="1"/>
  <c r="I40" i="37"/>
  <c r="M83" i="28"/>
  <c r="V83" i="33"/>
  <c r="I83" i="37"/>
  <c r="M75" i="28"/>
  <c r="V75" i="33"/>
  <c r="I75" i="37"/>
  <c r="M67" i="28"/>
  <c r="V67" i="33"/>
  <c r="X67" i="33" s="1"/>
  <c r="I67" i="37"/>
  <c r="M59" i="28"/>
  <c r="O59" i="28" s="1"/>
  <c r="V59" i="33"/>
  <c r="I59" i="37"/>
  <c r="M51" i="28"/>
  <c r="V51" i="33"/>
  <c r="I51" i="37"/>
  <c r="M43" i="28"/>
  <c r="V43" i="33"/>
  <c r="I43" i="37"/>
  <c r="M35" i="28"/>
  <c r="V35" i="33"/>
  <c r="I35" i="37"/>
  <c r="M27" i="28"/>
  <c r="V27" i="33"/>
  <c r="I27" i="37"/>
  <c r="M19" i="28"/>
  <c r="V19" i="33"/>
  <c r="I19" i="37"/>
  <c r="M11" i="28"/>
  <c r="O11" i="28" s="1"/>
  <c r="V11" i="33"/>
  <c r="I11" i="37"/>
  <c r="M80" i="28"/>
  <c r="O80" i="28" s="1"/>
  <c r="V80" i="33"/>
  <c r="X80" i="33" s="1"/>
  <c r="I80" i="37"/>
  <c r="M24" i="28"/>
  <c r="V24" i="33"/>
  <c r="X24" i="33" s="1"/>
  <c r="I24" i="37"/>
  <c r="M82" i="28"/>
  <c r="V82" i="33"/>
  <c r="I82" i="37"/>
  <c r="M74" i="28"/>
  <c r="V74" i="33"/>
  <c r="X74" i="33" s="1"/>
  <c r="I74" i="37"/>
  <c r="K74" i="37" s="1"/>
  <c r="M66" i="28"/>
  <c r="V66" i="33"/>
  <c r="X66" i="33" s="1"/>
  <c r="I66" i="37"/>
  <c r="M58" i="28"/>
  <c r="V58" i="33"/>
  <c r="X58" i="33" s="1"/>
  <c r="I58" i="37"/>
  <c r="K58" i="37" s="1"/>
  <c r="M50" i="28"/>
  <c r="V50" i="33"/>
  <c r="I50" i="37"/>
  <c r="M42" i="28"/>
  <c r="V42" i="33"/>
  <c r="I42" i="37"/>
  <c r="K42" i="37" s="1"/>
  <c r="M34" i="28"/>
  <c r="V34" i="33"/>
  <c r="I34" i="37"/>
  <c r="M26" i="28"/>
  <c r="O26" i="28" s="1"/>
  <c r="V26" i="33"/>
  <c r="I26" i="37"/>
  <c r="M18" i="28"/>
  <c r="V18" i="33"/>
  <c r="I18" i="37"/>
  <c r="M10" i="28"/>
  <c r="V10" i="33"/>
  <c r="X10" i="33" s="1"/>
  <c r="I10" i="37"/>
  <c r="K10" i="37" s="1"/>
  <c r="M48" i="28"/>
  <c r="O48" i="28" s="1"/>
  <c r="V48" i="33"/>
  <c r="X48" i="33" s="1"/>
  <c r="I48" i="37"/>
  <c r="V81" i="33"/>
  <c r="I81" i="37"/>
  <c r="V73" i="33"/>
  <c r="I73" i="37"/>
  <c r="V65" i="33"/>
  <c r="I65" i="37"/>
  <c r="V57" i="33"/>
  <c r="X57" i="33" s="1"/>
  <c r="I57" i="37"/>
  <c r="V49" i="33"/>
  <c r="I49" i="37"/>
  <c r="V41" i="33"/>
  <c r="X41" i="33" s="1"/>
  <c r="I41" i="37"/>
  <c r="V33" i="33"/>
  <c r="I33" i="37"/>
  <c r="K33" i="37" s="1"/>
  <c r="V25" i="33"/>
  <c r="X25" i="33" s="1"/>
  <c r="I25" i="37"/>
  <c r="V17" i="33"/>
  <c r="I17" i="37"/>
  <c r="V9" i="33"/>
  <c r="I9" i="37"/>
  <c r="M25" i="28"/>
  <c r="O33" i="28"/>
  <c r="O65" i="28"/>
  <c r="O57" i="28"/>
  <c r="O86" i="28"/>
  <c r="CR92" i="35"/>
  <c r="C86" i="29"/>
  <c r="M8" i="28"/>
  <c r="O67" i="28" l="1"/>
  <c r="O17" i="28"/>
  <c r="K17" i="37"/>
  <c r="K49" i="37"/>
  <c r="K81" i="37"/>
  <c r="K50" i="37"/>
  <c r="O35" i="28"/>
  <c r="K60" i="37"/>
  <c r="O21" i="28"/>
  <c r="K37" i="37"/>
  <c r="K69" i="37"/>
  <c r="O85" i="28"/>
  <c r="K14" i="37"/>
  <c r="O30" i="28"/>
  <c r="K78" i="37"/>
  <c r="K15" i="37"/>
  <c r="K47" i="37"/>
  <c r="K79" i="37"/>
  <c r="O8" i="28"/>
  <c r="X33" i="33"/>
  <c r="X65" i="33"/>
  <c r="O24" i="28"/>
  <c r="X19" i="33"/>
  <c r="K43" i="37"/>
  <c r="X83" i="33"/>
  <c r="O13" i="28"/>
  <c r="K61" i="37"/>
  <c r="O77" i="28"/>
  <c r="K38" i="37"/>
  <c r="O54" i="28"/>
  <c r="K70" i="37"/>
  <c r="O23" i="28"/>
  <c r="O55" i="28"/>
  <c r="O87" i="28"/>
  <c r="O29" i="28"/>
  <c r="O15" i="28"/>
  <c r="X18" i="33"/>
  <c r="X50" i="33"/>
  <c r="X82" i="33"/>
  <c r="X60" i="33"/>
  <c r="X37" i="33"/>
  <c r="X69" i="33"/>
  <c r="X14" i="33"/>
  <c r="X78" i="33"/>
  <c r="X15" i="33"/>
  <c r="X47" i="33"/>
  <c r="X79" i="33"/>
  <c r="X49" i="33"/>
  <c r="X43" i="33"/>
  <c r="X61" i="33"/>
  <c r="X64" i="33"/>
  <c r="K33" i="45"/>
  <c r="K65" i="45"/>
  <c r="K49" i="45"/>
  <c r="K81" i="45"/>
  <c r="K39" i="37"/>
  <c r="K25" i="37"/>
  <c r="K21" i="37"/>
  <c r="K53" i="37"/>
  <c r="K85" i="37"/>
  <c r="K72" i="37"/>
  <c r="K71" i="37"/>
  <c r="K13" i="37"/>
  <c r="K45" i="37"/>
  <c r="K77" i="37"/>
  <c r="K22" i="37"/>
  <c r="K86" i="37"/>
  <c r="K23" i="37"/>
  <c r="K55" i="37"/>
  <c r="K87" i="37"/>
  <c r="O10" i="28"/>
  <c r="O43" i="28"/>
  <c r="O75" i="28"/>
  <c r="O38" i="28"/>
  <c r="O72" i="28"/>
  <c r="O12" i="28"/>
  <c r="O31" i="28"/>
  <c r="O63" i="28"/>
  <c r="O9" i="28"/>
  <c r="O73" i="28"/>
  <c r="O79" i="28"/>
  <c r="O56" i="28"/>
  <c r="O69" i="28"/>
  <c r="X44" i="33"/>
  <c r="X68" i="33"/>
  <c r="X27" i="33"/>
  <c r="X51" i="33"/>
  <c r="X28" i="33"/>
  <c r="X46" i="33"/>
  <c r="X73" i="33"/>
  <c r="X11" i="33"/>
  <c r="X75" i="33"/>
  <c r="X52" i="33"/>
  <c r="X29" i="33"/>
  <c r="X34" i="33"/>
  <c r="X35" i="33"/>
  <c r="X12" i="33"/>
  <c r="X76" i="33"/>
  <c r="X9" i="33"/>
  <c r="X62" i="33"/>
  <c r="X26" i="33"/>
  <c r="X59" i="33"/>
  <c r="X36" i="33"/>
  <c r="X54" i="33"/>
  <c r="O19" i="28"/>
  <c r="O83" i="28"/>
  <c r="O37" i="28"/>
  <c r="O47" i="28"/>
  <c r="O27" i="28"/>
  <c r="O40" i="28"/>
  <c r="O18" i="28"/>
  <c r="O51" i="28"/>
  <c r="X38" i="33"/>
  <c r="X53" i="33"/>
  <c r="X45" i="33"/>
  <c r="X17" i="33"/>
  <c r="X81" i="33"/>
  <c r="X42" i="33"/>
  <c r="X70" i="33"/>
  <c r="O61" i="28"/>
  <c r="O42" i="28"/>
  <c r="O22" i="28"/>
  <c r="O34" i="28"/>
  <c r="O62" i="28"/>
  <c r="O25" i="28"/>
  <c r="O53" i="28"/>
  <c r="O78" i="28"/>
  <c r="O45" i="28"/>
  <c r="O70" i="28"/>
  <c r="O14" i="28"/>
  <c r="K84" i="37"/>
  <c r="K41" i="37"/>
  <c r="K73" i="37"/>
  <c r="K34" i="37"/>
  <c r="K80" i="37"/>
  <c r="K44" i="37"/>
  <c r="K62" i="37"/>
  <c r="K20" i="37"/>
  <c r="K9" i="37"/>
  <c r="K68" i="37"/>
  <c r="K52" i="37"/>
  <c r="K12" i="37"/>
  <c r="K76" i="37"/>
  <c r="K28" i="37"/>
  <c r="K36" i="37"/>
  <c r="K32" i="37"/>
  <c r="K18" i="37"/>
  <c r="K82" i="37"/>
  <c r="K46" i="37"/>
  <c r="K40" i="37"/>
  <c r="K64" i="37"/>
  <c r="K8" i="37"/>
  <c r="K57" i="37"/>
  <c r="K48" i="37"/>
  <c r="K66" i="37"/>
  <c r="K30" i="37"/>
  <c r="K16" i="37"/>
  <c r="K24" i="37"/>
  <c r="K67" i="37"/>
  <c r="K27" i="37"/>
  <c r="K51" i="37"/>
  <c r="K11" i="37"/>
  <c r="K75" i="37"/>
  <c r="K29" i="37"/>
  <c r="K35" i="37"/>
  <c r="K26" i="37"/>
  <c r="K59" i="37"/>
  <c r="K54" i="37"/>
  <c r="K65" i="37"/>
  <c r="K19" i="37"/>
  <c r="K83" i="37"/>
  <c r="O74" i="28"/>
  <c r="O82" i="28"/>
  <c r="N88" i="28"/>
  <c r="N89" i="28" s="1"/>
  <c r="O36" i="28"/>
  <c r="O44" i="28"/>
  <c r="O52" i="28"/>
  <c r="O68" i="28"/>
  <c r="O76" i="28"/>
  <c r="O50" i="28"/>
  <c r="O58" i="28"/>
  <c r="O66" i="28"/>
  <c r="O60" i="28"/>
  <c r="O28" i="28"/>
  <c r="K7" i="37"/>
  <c r="J88" i="37"/>
  <c r="J89" i="37" s="1"/>
  <c r="W88" i="33"/>
  <c r="W89" i="33" s="1"/>
  <c r="X7" i="33"/>
  <c r="V88" i="33"/>
  <c r="V89" i="33" s="1"/>
  <c r="I88" i="37"/>
  <c r="I89" i="37" s="1"/>
  <c r="C47" i="31"/>
  <c r="B4" i="25" s="1"/>
  <c r="D96" i="9"/>
  <c r="K88" i="45" l="1"/>
  <c r="K89" i="45" s="1"/>
  <c r="X88" i="33"/>
  <c r="X89" i="33" s="1"/>
  <c r="K88" i="37"/>
  <c r="K89" i="37" s="1"/>
  <c r="D87" i="32"/>
  <c r="H87" i="32"/>
  <c r="H7" i="21"/>
  <c r="H9" i="27"/>
  <c r="B5" i="27"/>
  <c r="B6" i="27"/>
  <c r="B4" i="27"/>
  <c r="G68" i="31"/>
  <c r="I68" i="31"/>
  <c r="I70" i="31"/>
  <c r="I69" i="31"/>
  <c r="H7" i="26"/>
  <c r="H6" i="26"/>
  <c r="F6" i="26"/>
  <c r="D6" i="26"/>
  <c r="B9" i="26"/>
  <c r="B6" i="26"/>
  <c r="E56" i="31"/>
  <c r="D9" i="27"/>
  <c r="B8" i="27"/>
  <c r="P87" i="32"/>
  <c r="L87" i="32"/>
  <c r="H75" i="21" l="1"/>
  <c r="J75" i="21" s="1"/>
  <c r="H79" i="21"/>
  <c r="J79" i="21" s="1"/>
  <c r="H77" i="21"/>
  <c r="J77" i="21" s="1"/>
  <c r="H74" i="21"/>
  <c r="J74" i="21" s="1"/>
  <c r="H76" i="21"/>
  <c r="J76" i="21" s="1"/>
  <c r="H78" i="21"/>
  <c r="J78" i="21" s="1"/>
  <c r="H90" i="21"/>
  <c r="J90" i="21" s="1"/>
  <c r="H36" i="21"/>
  <c r="J36" i="21" s="1"/>
  <c r="H68" i="21"/>
  <c r="J68" i="21" s="1"/>
  <c r="H21" i="21"/>
  <c r="J21" i="21" s="1"/>
  <c r="H29" i="21"/>
  <c r="J29" i="21" s="1"/>
  <c r="H37" i="21"/>
  <c r="J37" i="21" s="1"/>
  <c r="H45" i="21"/>
  <c r="J45" i="21" s="1"/>
  <c r="H53" i="21"/>
  <c r="J53" i="21" s="1"/>
  <c r="H61" i="21"/>
  <c r="J61" i="21" s="1"/>
  <c r="H69" i="21"/>
  <c r="H85" i="21"/>
  <c r="J85" i="21" s="1"/>
  <c r="H93" i="21"/>
  <c r="J93" i="21" s="1"/>
  <c r="H31" i="21"/>
  <c r="J31" i="21" s="1"/>
  <c r="H47" i="21"/>
  <c r="J47" i="21" s="1"/>
  <c r="H55" i="21"/>
  <c r="J55" i="21" s="1"/>
  <c r="H71" i="21"/>
  <c r="J71" i="21" s="1"/>
  <c r="H87" i="21"/>
  <c r="J87" i="21" s="1"/>
  <c r="H24" i="21"/>
  <c r="J24" i="21" s="1"/>
  <c r="H32" i="21"/>
  <c r="J32" i="21" s="1"/>
  <c r="H56" i="21"/>
  <c r="J56" i="21" s="1"/>
  <c r="H72" i="21"/>
  <c r="J72" i="21" s="1"/>
  <c r="H88" i="21"/>
  <c r="J88" i="21" s="1"/>
  <c r="H17" i="21"/>
  <c r="J17" i="21" s="1"/>
  <c r="H33" i="21"/>
  <c r="J33" i="21" s="1"/>
  <c r="H41" i="21"/>
  <c r="J41" i="21" s="1"/>
  <c r="H57" i="21"/>
  <c r="J57" i="21" s="1"/>
  <c r="H73" i="21"/>
  <c r="J73" i="21" s="1"/>
  <c r="H89" i="21"/>
  <c r="J89" i="21" s="1"/>
  <c r="H26" i="21"/>
  <c r="J26" i="21" s="1"/>
  <c r="H42" i="21"/>
  <c r="J42" i="21" s="1"/>
  <c r="H50" i="21"/>
  <c r="J50" i="21" s="1"/>
  <c r="H66" i="21"/>
  <c r="J66" i="21" s="1"/>
  <c r="H82" i="21"/>
  <c r="J82" i="21" s="1"/>
  <c r="H19" i="21"/>
  <c r="J19" i="21" s="1"/>
  <c r="H35" i="21"/>
  <c r="J35" i="21" s="1"/>
  <c r="H51" i="21"/>
  <c r="J51" i="21" s="1"/>
  <c r="H91" i="21"/>
  <c r="J91" i="21" s="1"/>
  <c r="H28" i="21"/>
  <c r="J28" i="21" s="1"/>
  <c r="H44" i="21"/>
  <c r="J44" i="21" s="1"/>
  <c r="H60" i="21"/>
  <c r="J60" i="21" s="1"/>
  <c r="H84" i="21"/>
  <c r="J84" i="21" s="1"/>
  <c r="H22" i="21"/>
  <c r="J22" i="21" s="1"/>
  <c r="H30" i="21"/>
  <c r="J30" i="21" s="1"/>
  <c r="H38" i="21"/>
  <c r="J38" i="21" s="1"/>
  <c r="H46" i="21"/>
  <c r="J46" i="21" s="1"/>
  <c r="H54" i="21"/>
  <c r="J54" i="21" s="1"/>
  <c r="H62" i="21"/>
  <c r="J62" i="21" s="1"/>
  <c r="H70" i="21"/>
  <c r="J70" i="21" s="1"/>
  <c r="H86" i="21"/>
  <c r="J86" i="21" s="1"/>
  <c r="H94" i="21"/>
  <c r="J94" i="21" s="1"/>
  <c r="H23" i="21"/>
  <c r="J23" i="21" s="1"/>
  <c r="H39" i="21"/>
  <c r="J39" i="21" s="1"/>
  <c r="H63" i="21"/>
  <c r="J63" i="21" s="1"/>
  <c r="H95" i="21"/>
  <c r="J95" i="21" s="1"/>
  <c r="H16" i="21"/>
  <c r="J16" i="21" s="1"/>
  <c r="H40" i="21"/>
  <c r="J40" i="21" s="1"/>
  <c r="H48" i="21"/>
  <c r="J48" i="21" s="1"/>
  <c r="H64" i="21"/>
  <c r="J64" i="21" s="1"/>
  <c r="H80" i="21"/>
  <c r="J80" i="21" s="1"/>
  <c r="H15" i="21"/>
  <c r="J15" i="21" s="1"/>
  <c r="H25" i="21"/>
  <c r="J25" i="21" s="1"/>
  <c r="H49" i="21"/>
  <c r="J49" i="21" s="1"/>
  <c r="H65" i="21"/>
  <c r="J65" i="21" s="1"/>
  <c r="H81" i="21"/>
  <c r="J81" i="21" s="1"/>
  <c r="H96" i="21"/>
  <c r="H18" i="21"/>
  <c r="J18" i="21" s="1"/>
  <c r="H34" i="21"/>
  <c r="J34" i="21" s="1"/>
  <c r="H58" i="21"/>
  <c r="J58" i="21" s="1"/>
  <c r="H27" i="21"/>
  <c r="J27" i="21" s="1"/>
  <c r="H43" i="21"/>
  <c r="J43" i="21" s="1"/>
  <c r="H59" i="21"/>
  <c r="J59" i="21" s="1"/>
  <c r="H67" i="21"/>
  <c r="J67" i="21" s="1"/>
  <c r="H83" i="21"/>
  <c r="J83" i="21" s="1"/>
  <c r="H20" i="21"/>
  <c r="J20" i="21" s="1"/>
  <c r="H52" i="21"/>
  <c r="J52" i="21" s="1"/>
  <c r="H92" i="21"/>
  <c r="J92" i="21" s="1"/>
  <c r="I16" i="21"/>
  <c r="I24" i="21"/>
  <c r="I32" i="21"/>
  <c r="I40" i="21"/>
  <c r="I48" i="21"/>
  <c r="I56" i="21"/>
  <c r="I64" i="21"/>
  <c r="I72" i="21"/>
  <c r="I80" i="21"/>
  <c r="I88" i="21"/>
  <c r="I15" i="21"/>
  <c r="I17" i="21"/>
  <c r="I25" i="21"/>
  <c r="I33" i="21"/>
  <c r="I41" i="21"/>
  <c r="I49" i="21"/>
  <c r="I57" i="21"/>
  <c r="I65" i="21"/>
  <c r="I73" i="21"/>
  <c r="I81" i="21"/>
  <c r="I89" i="21"/>
  <c r="I22" i="21"/>
  <c r="I62" i="21"/>
  <c r="I86" i="21"/>
  <c r="I18" i="21"/>
  <c r="I26" i="21"/>
  <c r="I34" i="21"/>
  <c r="I42" i="21"/>
  <c r="I50" i="21"/>
  <c r="I58" i="21"/>
  <c r="I66" i="21"/>
  <c r="I82" i="21"/>
  <c r="I90" i="21"/>
  <c r="I38" i="21"/>
  <c r="I94" i="21"/>
  <c r="I19" i="21"/>
  <c r="I27" i="21"/>
  <c r="I35" i="21"/>
  <c r="I43" i="21"/>
  <c r="I51" i="21"/>
  <c r="I59" i="21"/>
  <c r="I67" i="21"/>
  <c r="I83" i="21"/>
  <c r="I91" i="21"/>
  <c r="I30" i="21"/>
  <c r="I70" i="21"/>
  <c r="I20" i="21"/>
  <c r="I28" i="21"/>
  <c r="I36" i="21"/>
  <c r="I44" i="21"/>
  <c r="I52" i="21"/>
  <c r="I60" i="21"/>
  <c r="I68" i="21"/>
  <c r="I84" i="21"/>
  <c r="I92" i="21"/>
  <c r="I54" i="21"/>
  <c r="I21" i="21"/>
  <c r="I29" i="21"/>
  <c r="I37" i="21"/>
  <c r="I45" i="21"/>
  <c r="I53" i="21"/>
  <c r="I61" i="21"/>
  <c r="I69" i="21"/>
  <c r="I85" i="21"/>
  <c r="I93" i="21"/>
  <c r="I46" i="21"/>
  <c r="I23" i="21"/>
  <c r="I31" i="21"/>
  <c r="I39" i="21"/>
  <c r="I47" i="21"/>
  <c r="I55" i="21"/>
  <c r="I63" i="21"/>
  <c r="I71" i="21"/>
  <c r="I87" i="21"/>
  <c r="I95" i="21"/>
  <c r="D5" i="26"/>
  <c r="B5" i="26"/>
  <c r="E14" i="26" s="1"/>
  <c r="C48" i="31"/>
  <c r="D4" i="25" s="1"/>
  <c r="G60" i="32" l="1"/>
  <c r="I60" i="32" s="1"/>
  <c r="J69" i="21"/>
  <c r="I96" i="21"/>
  <c r="G11" i="32"/>
  <c r="I11" i="32" s="1"/>
  <c r="G45" i="32"/>
  <c r="I45" i="32" s="1"/>
  <c r="G69" i="32"/>
  <c r="I69" i="32" s="1"/>
  <c r="G23" i="32"/>
  <c r="I23" i="32" s="1"/>
  <c r="G67" i="32"/>
  <c r="I67" i="32" s="1"/>
  <c r="G71" i="32"/>
  <c r="I71" i="32" s="1"/>
  <c r="G83" i="32"/>
  <c r="I83" i="32" s="1"/>
  <c r="G59" i="32"/>
  <c r="I59" i="32" s="1"/>
  <c r="G40" i="32"/>
  <c r="I40" i="32" s="1"/>
  <c r="G75" i="32"/>
  <c r="I75" i="32" s="1"/>
  <c r="G20" i="32"/>
  <c r="I20" i="32" s="1"/>
  <c r="G79" i="32"/>
  <c r="I79" i="32" s="1"/>
  <c r="G31" i="32"/>
  <c r="I31" i="32" s="1"/>
  <c r="G17" i="32"/>
  <c r="I17" i="32" s="1"/>
  <c r="G55" i="32"/>
  <c r="I55" i="32" s="1"/>
  <c r="G51" i="32"/>
  <c r="I51" i="32" s="1"/>
  <c r="G85" i="32"/>
  <c r="I85" i="32" s="1"/>
  <c r="G37" i="32"/>
  <c r="I37" i="32" s="1"/>
  <c r="G19" i="32"/>
  <c r="I19" i="32" s="1"/>
  <c r="G53" i="32"/>
  <c r="I53" i="32" s="1"/>
  <c r="G15" i="32"/>
  <c r="I15" i="32" s="1"/>
  <c r="G35" i="32"/>
  <c r="I35" i="32" s="1"/>
  <c r="G47" i="32"/>
  <c r="I47" i="32" s="1"/>
  <c r="G27" i="32"/>
  <c r="I27" i="32" s="1"/>
  <c r="G61" i="32"/>
  <c r="I61" i="32" s="1"/>
  <c r="G43" i="32"/>
  <c r="I43" i="32" s="1"/>
  <c r="G39" i="32"/>
  <c r="I39" i="32" s="1"/>
  <c r="G77" i="32"/>
  <c r="I77" i="32" s="1"/>
  <c r="G63" i="32"/>
  <c r="I63" i="32" s="1"/>
  <c r="G21" i="32"/>
  <c r="I21" i="32" s="1"/>
  <c r="G81" i="32"/>
  <c r="I81" i="32" s="1"/>
  <c r="G29" i="32"/>
  <c r="I29" i="32" s="1"/>
  <c r="G44" i="32"/>
  <c r="I44" i="32" s="1"/>
  <c r="G46" i="32"/>
  <c r="I46" i="32" s="1"/>
  <c r="G8" i="32"/>
  <c r="I8" i="32" s="1"/>
  <c r="G7" i="32"/>
  <c r="I7" i="32" s="1"/>
  <c r="G56" i="32"/>
  <c r="I56" i="32" s="1"/>
  <c r="G80" i="32"/>
  <c r="I80" i="32" s="1"/>
  <c r="G66" i="32"/>
  <c r="I66" i="32" s="1"/>
  <c r="G54" i="32"/>
  <c r="I54" i="32" s="1"/>
  <c r="G10" i="32"/>
  <c r="I10" i="32" s="1"/>
  <c r="G62" i="32"/>
  <c r="I62" i="32" s="1"/>
  <c r="G65" i="32"/>
  <c r="I65" i="32" s="1"/>
  <c r="G68" i="32"/>
  <c r="I68" i="32" s="1"/>
  <c r="G70" i="32"/>
  <c r="I70" i="32" s="1"/>
  <c r="G72" i="32"/>
  <c r="I72" i="32" s="1"/>
  <c r="G26" i="32"/>
  <c r="I26" i="32" s="1"/>
  <c r="G41" i="32"/>
  <c r="I41" i="32" s="1"/>
  <c r="G25" i="32"/>
  <c r="I25" i="32" s="1"/>
  <c r="G48" i="32"/>
  <c r="I48" i="32" s="1"/>
  <c r="G13" i="32"/>
  <c r="I13" i="32" s="1"/>
  <c r="G9" i="32"/>
  <c r="I9" i="32" s="1"/>
  <c r="G34" i="32"/>
  <c r="I34" i="32" s="1"/>
  <c r="G64" i="32"/>
  <c r="I64" i="32" s="1"/>
  <c r="G84" i="32"/>
  <c r="I84" i="32" s="1"/>
  <c r="G74" i="32"/>
  <c r="I74" i="32" s="1"/>
  <c r="G6" i="32"/>
  <c r="G86" i="32"/>
  <c r="I86" i="32" s="1"/>
  <c r="G32" i="32"/>
  <c r="I32" i="32" s="1"/>
  <c r="G16" i="32"/>
  <c r="I16" i="32" s="1"/>
  <c r="G42" i="32"/>
  <c r="I42" i="32" s="1"/>
  <c r="G76" i="32"/>
  <c r="I76" i="32" s="1"/>
  <c r="G18" i="32"/>
  <c r="I18" i="32" s="1"/>
  <c r="G12" i="32"/>
  <c r="I12" i="32" s="1"/>
  <c r="G36" i="32"/>
  <c r="I36" i="32" s="1"/>
  <c r="G50" i="32"/>
  <c r="I50" i="32" s="1"/>
  <c r="G14" i="32"/>
  <c r="I14" i="32" s="1"/>
  <c r="G28" i="32"/>
  <c r="I28" i="32" s="1"/>
  <c r="G82" i="32"/>
  <c r="I82" i="32" s="1"/>
  <c r="G49" i="32"/>
  <c r="I49" i="32" s="1"/>
  <c r="G78" i="32"/>
  <c r="I78" i="32" s="1"/>
  <c r="G22" i="32"/>
  <c r="I22" i="32" s="1"/>
  <c r="G30" i="32"/>
  <c r="I30" i="32" s="1"/>
  <c r="G52" i="32"/>
  <c r="I52" i="32" s="1"/>
  <c r="G24" i="32"/>
  <c r="I24" i="32" s="1"/>
  <c r="G38" i="32"/>
  <c r="I38" i="32" s="1"/>
  <c r="G73" i="32"/>
  <c r="I73" i="32" s="1"/>
  <c r="G33" i="32"/>
  <c r="I33" i="32" s="1"/>
  <c r="G57" i="32"/>
  <c r="I57" i="32" s="1"/>
  <c r="G58" i="32"/>
  <c r="I58" i="32" s="1"/>
  <c r="G87" i="32" l="1"/>
  <c r="I6" i="32"/>
  <c r="I87" i="32" s="1"/>
  <c r="C88" i="33"/>
  <c r="H6" i="27"/>
  <c r="B10" i="27"/>
  <c r="D6" i="27"/>
  <c r="F8" i="27"/>
  <c r="D8" i="27"/>
  <c r="J7" i="26" l="1"/>
  <c r="D15" i="26"/>
  <c r="D16" i="26"/>
  <c r="D17" i="26"/>
  <c r="D18" i="26"/>
  <c r="D19" i="26"/>
  <c r="D20" i="26"/>
  <c r="D21" i="26"/>
  <c r="D22" i="26"/>
  <c r="D23" i="26"/>
  <c r="D24" i="26"/>
  <c r="D25" i="26"/>
  <c r="D26" i="26"/>
  <c r="D27" i="26"/>
  <c r="D28" i="26"/>
  <c r="D29" i="26"/>
  <c r="D30" i="26"/>
  <c r="D31" i="26"/>
  <c r="D32" i="26"/>
  <c r="D33" i="26"/>
  <c r="D34" i="26"/>
  <c r="D35" i="26"/>
  <c r="D36" i="26"/>
  <c r="D37" i="26"/>
  <c r="D38" i="26"/>
  <c r="D39" i="26"/>
  <c r="D40" i="26"/>
  <c r="D41" i="26"/>
  <c r="D42" i="26"/>
  <c r="D43" i="26"/>
  <c r="D44" i="26"/>
  <c r="D45" i="26"/>
  <c r="D46" i="26"/>
  <c r="D47" i="26"/>
  <c r="D48" i="26"/>
  <c r="D49" i="26"/>
  <c r="D50" i="26"/>
  <c r="D51" i="26"/>
  <c r="D52" i="26"/>
  <c r="D53" i="26"/>
  <c r="D54" i="26"/>
  <c r="D55" i="26"/>
  <c r="D56" i="26"/>
  <c r="D57" i="26"/>
  <c r="D58" i="26"/>
  <c r="D59" i="26"/>
  <c r="D60" i="26"/>
  <c r="D61" i="26"/>
  <c r="D62" i="26"/>
  <c r="D63" i="26"/>
  <c r="D64" i="26"/>
  <c r="D65" i="26"/>
  <c r="D66" i="26"/>
  <c r="D67" i="26"/>
  <c r="D68" i="26"/>
  <c r="D69" i="26"/>
  <c r="D70" i="26"/>
  <c r="D71" i="26"/>
  <c r="D72" i="26"/>
  <c r="D73" i="26"/>
  <c r="D74" i="26"/>
  <c r="D75" i="26"/>
  <c r="D76" i="26"/>
  <c r="D77" i="26"/>
  <c r="D78" i="26"/>
  <c r="D79" i="26"/>
  <c r="D80" i="26"/>
  <c r="D81" i="26"/>
  <c r="D82" i="26"/>
  <c r="D83" i="26"/>
  <c r="D84" i="26"/>
  <c r="D85" i="26"/>
  <c r="D86" i="26"/>
  <c r="D87" i="26"/>
  <c r="D88" i="26"/>
  <c r="D89" i="26"/>
  <c r="D90" i="26"/>
  <c r="D91" i="26"/>
  <c r="D92" i="26"/>
  <c r="D93" i="26"/>
  <c r="D94" i="26"/>
  <c r="C88" i="28"/>
  <c r="C39" i="31"/>
  <c r="F4" i="23" s="1"/>
  <c r="C41" i="31"/>
  <c r="J4" i="23" s="1"/>
  <c r="C42" i="31"/>
  <c r="B4" i="24" s="1"/>
  <c r="C68" i="31"/>
  <c r="F4" i="26" s="1"/>
  <c r="F5" i="26" s="1"/>
  <c r="C37" i="31"/>
  <c r="B4" i="23" s="1"/>
  <c r="D6" i="29"/>
  <c r="D7" i="29"/>
  <c r="D8" i="29"/>
  <c r="D9" i="29"/>
  <c r="D10" i="29"/>
  <c r="D11" i="29"/>
  <c r="D12" i="29"/>
  <c r="D13" i="29"/>
  <c r="D14" i="29"/>
  <c r="D15" i="29"/>
  <c r="D16" i="29"/>
  <c r="D17" i="29"/>
  <c r="D18" i="29"/>
  <c r="D19" i="29"/>
  <c r="D20" i="29"/>
  <c r="D21" i="29"/>
  <c r="D22" i="29"/>
  <c r="D23" i="29"/>
  <c r="D24" i="29"/>
  <c r="D25" i="29"/>
  <c r="D26" i="29"/>
  <c r="D27" i="29"/>
  <c r="D28" i="29"/>
  <c r="D29" i="29"/>
  <c r="D30" i="29"/>
  <c r="D31" i="29"/>
  <c r="D32" i="29"/>
  <c r="D33" i="29"/>
  <c r="D34" i="29"/>
  <c r="D35" i="29"/>
  <c r="D36" i="29"/>
  <c r="D37" i="29"/>
  <c r="D38" i="29"/>
  <c r="D39" i="29"/>
  <c r="D40" i="29"/>
  <c r="D41" i="29"/>
  <c r="D42" i="29"/>
  <c r="D43" i="29"/>
  <c r="D44" i="29"/>
  <c r="D45" i="29"/>
  <c r="D46" i="29"/>
  <c r="D47" i="29"/>
  <c r="D48" i="29"/>
  <c r="D49" i="29"/>
  <c r="D50" i="29"/>
  <c r="D51" i="29"/>
  <c r="D52" i="29"/>
  <c r="D53" i="29"/>
  <c r="D54" i="29"/>
  <c r="D55" i="29"/>
  <c r="D56" i="29"/>
  <c r="D57" i="29"/>
  <c r="D58" i="29"/>
  <c r="D59" i="29"/>
  <c r="D60" i="29"/>
  <c r="D61" i="29"/>
  <c r="D62" i="29"/>
  <c r="D63" i="29"/>
  <c r="D64" i="29"/>
  <c r="D65" i="29"/>
  <c r="D66" i="29"/>
  <c r="D67" i="29"/>
  <c r="D68" i="29"/>
  <c r="D69" i="29"/>
  <c r="D70" i="29"/>
  <c r="D71" i="29"/>
  <c r="D72" i="29"/>
  <c r="D73" i="29"/>
  <c r="D74" i="29"/>
  <c r="D75" i="29"/>
  <c r="D76" i="29"/>
  <c r="D77" i="29"/>
  <c r="D78" i="29"/>
  <c r="D79" i="29"/>
  <c r="D80" i="29"/>
  <c r="D81" i="29"/>
  <c r="D82" i="29"/>
  <c r="D83" i="29"/>
  <c r="D84" i="29"/>
  <c r="D85" i="29"/>
  <c r="D95" i="26" l="1"/>
  <c r="D86" i="29"/>
  <c r="B5" i="31" l="1"/>
  <c r="F9" i="27" l="1"/>
  <c r="H15" i="27" s="1"/>
  <c r="H16" i="27" l="1"/>
  <c r="H56" i="27"/>
  <c r="H41" i="27"/>
  <c r="H73" i="27"/>
  <c r="H18" i="27"/>
  <c r="H26" i="27"/>
  <c r="H34" i="27"/>
  <c r="H42" i="27"/>
  <c r="H50" i="27"/>
  <c r="H58" i="27"/>
  <c r="H66" i="27"/>
  <c r="H74" i="27"/>
  <c r="H82" i="27"/>
  <c r="H90" i="27"/>
  <c r="H19" i="27"/>
  <c r="H27" i="27"/>
  <c r="H35" i="27"/>
  <c r="H43" i="27"/>
  <c r="H51" i="27"/>
  <c r="H59" i="27"/>
  <c r="H67" i="27"/>
  <c r="H75" i="27"/>
  <c r="H83" i="27"/>
  <c r="H91" i="27"/>
  <c r="H30" i="27"/>
  <c r="H38" i="27"/>
  <c r="H54" i="27"/>
  <c r="H70" i="27"/>
  <c r="H86" i="27"/>
  <c r="H32" i="27"/>
  <c r="H80" i="27"/>
  <c r="H17" i="27"/>
  <c r="H49" i="27"/>
  <c r="H20" i="27"/>
  <c r="H28" i="27"/>
  <c r="H36" i="27"/>
  <c r="H44" i="27"/>
  <c r="H52" i="27"/>
  <c r="H60" i="27"/>
  <c r="H68" i="27"/>
  <c r="H76" i="27"/>
  <c r="H84" i="27"/>
  <c r="H92" i="27"/>
  <c r="H21" i="27"/>
  <c r="H29" i="27"/>
  <c r="H37" i="27"/>
  <c r="H45" i="27"/>
  <c r="H53" i="27"/>
  <c r="H61" i="27"/>
  <c r="H69" i="27"/>
  <c r="H77" i="27"/>
  <c r="H85" i="27"/>
  <c r="H93" i="27"/>
  <c r="H22" i="27"/>
  <c r="H46" i="27"/>
  <c r="H62" i="27"/>
  <c r="H78" i="27"/>
  <c r="H94" i="27"/>
  <c r="H40" i="27"/>
  <c r="H72" i="27"/>
  <c r="H57" i="27"/>
  <c r="H89" i="27"/>
  <c r="H48" i="27"/>
  <c r="H33" i="27"/>
  <c r="H81" i="27"/>
  <c r="H23" i="27"/>
  <c r="H31" i="27"/>
  <c r="H39" i="27"/>
  <c r="H47" i="27"/>
  <c r="H55" i="27"/>
  <c r="H63" i="27"/>
  <c r="H71" i="27"/>
  <c r="H79" i="27"/>
  <c r="H87" i="27"/>
  <c r="H95" i="27"/>
  <c r="H24" i="27"/>
  <c r="H64" i="27"/>
  <c r="H88" i="27"/>
  <c r="H25" i="27"/>
  <c r="H65" i="27"/>
  <c r="C61" i="31"/>
  <c r="H4" i="27" s="1"/>
  <c r="H5" i="27" l="1"/>
  <c r="I90" i="27" l="1"/>
  <c r="I82" i="27"/>
  <c r="I74" i="27"/>
  <c r="I66" i="27"/>
  <c r="I58" i="27"/>
  <c r="I50" i="27"/>
  <c r="I42" i="27"/>
  <c r="I34" i="27"/>
  <c r="I26" i="27"/>
  <c r="I18" i="27"/>
  <c r="I81" i="27"/>
  <c r="I41" i="27"/>
  <c r="I89" i="27"/>
  <c r="I64" i="27"/>
  <c r="I56" i="27"/>
  <c r="I48" i="27"/>
  <c r="I40" i="27"/>
  <c r="I32" i="27"/>
  <c r="I24" i="27"/>
  <c r="I16" i="27"/>
  <c r="I39" i="27"/>
  <c r="I23" i="27"/>
  <c r="I93" i="27"/>
  <c r="I69" i="27"/>
  <c r="I45" i="27"/>
  <c r="I65" i="27"/>
  <c r="I25" i="27"/>
  <c r="I95" i="27"/>
  <c r="I87" i="27"/>
  <c r="I79" i="27"/>
  <c r="I71" i="27"/>
  <c r="I63" i="27"/>
  <c r="I55" i="27"/>
  <c r="I47" i="27"/>
  <c r="I31" i="27"/>
  <c r="I15" i="27"/>
  <c r="I77" i="27"/>
  <c r="I53" i="27"/>
  <c r="I29" i="27"/>
  <c r="I73" i="27"/>
  <c r="I17" i="27"/>
  <c r="I62" i="27"/>
  <c r="I54" i="27"/>
  <c r="I46" i="27"/>
  <c r="I38" i="27"/>
  <c r="I30" i="27"/>
  <c r="I22" i="27"/>
  <c r="I85" i="27"/>
  <c r="I61" i="27"/>
  <c r="I37" i="27"/>
  <c r="I49" i="27"/>
  <c r="I33" i="27"/>
  <c r="I21" i="27"/>
  <c r="I60" i="27"/>
  <c r="I52" i="27"/>
  <c r="I44" i="27"/>
  <c r="I36" i="27"/>
  <c r="I28" i="27"/>
  <c r="I20" i="27"/>
  <c r="I91" i="27"/>
  <c r="I83" i="27"/>
  <c r="I75" i="27"/>
  <c r="I67" i="27"/>
  <c r="I59" i="27"/>
  <c r="I51" i="27"/>
  <c r="I43" i="27"/>
  <c r="I35" i="27"/>
  <c r="I27" i="27"/>
  <c r="I19" i="27"/>
  <c r="I57" i="27"/>
  <c r="I88" i="27"/>
  <c r="I94" i="27"/>
  <c r="I68" i="27"/>
  <c r="I72" i="27"/>
  <c r="I76" i="27"/>
  <c r="I80" i="27"/>
  <c r="I84" i="27"/>
  <c r="I92" i="27"/>
  <c r="I70" i="27"/>
  <c r="I86" i="27"/>
  <c r="I78" i="27"/>
  <c r="B9" i="25" l="1"/>
  <c r="H5" i="26"/>
  <c r="D8" i="25" l="1"/>
  <c r="B6" i="25"/>
  <c r="D6" i="25"/>
  <c r="D9" i="25"/>
  <c r="G8" i="25"/>
  <c r="B6" i="24"/>
  <c r="G9" i="24"/>
  <c r="D5" i="24" s="1"/>
  <c r="J8" i="23"/>
  <c r="F8" i="23"/>
  <c r="B8" i="23"/>
  <c r="D5" i="25" l="1"/>
  <c r="B5" i="24"/>
  <c r="D14" i="24" s="1"/>
  <c r="B5" i="25"/>
  <c r="J9" i="23" l="1"/>
  <c r="K14" i="23" s="1"/>
  <c r="F9" i="23"/>
  <c r="G14" i="23" s="1"/>
  <c r="B9" i="23"/>
  <c r="D14" i="23" s="1"/>
  <c r="J6" i="23"/>
  <c r="C10" i="23"/>
  <c r="G6" i="15"/>
  <c r="M22" i="15" s="1"/>
  <c r="C9" i="15"/>
  <c r="B6" i="15"/>
  <c r="B4" i="15"/>
  <c r="G5" i="15"/>
  <c r="C9" i="21"/>
  <c r="B6" i="21"/>
  <c r="B4" i="21"/>
  <c r="C9" i="12"/>
  <c r="C9" i="11"/>
  <c r="B6" i="12"/>
  <c r="B4" i="12"/>
  <c r="B6" i="11"/>
  <c r="B4" i="11"/>
  <c r="F5" i="12"/>
  <c r="F4" i="12"/>
  <c r="F5" i="11"/>
  <c r="F4" i="11"/>
  <c r="F5" i="14"/>
  <c r="F5" i="10"/>
  <c r="F4" i="10"/>
  <c r="I5" i="9"/>
  <c r="B6" i="14"/>
  <c r="B4" i="14"/>
  <c r="C9" i="14"/>
  <c r="B6" i="10"/>
  <c r="C9" i="10"/>
  <c r="B4" i="10"/>
  <c r="B6" i="9"/>
  <c r="C9" i="9"/>
  <c r="B5" i="9" s="1"/>
  <c r="G22" i="15" l="1"/>
  <c r="J22" i="15"/>
  <c r="D5" i="23"/>
  <c r="B5" i="23"/>
  <c r="E14" i="23" s="1"/>
  <c r="L16" i="17"/>
  <c r="L24" i="17"/>
  <c r="L32" i="17"/>
  <c r="L40" i="17"/>
  <c r="L48" i="17"/>
  <c r="L56" i="17"/>
  <c r="L64" i="17"/>
  <c r="L72" i="17"/>
  <c r="L80" i="17"/>
  <c r="L88" i="17"/>
  <c r="L15" i="17"/>
  <c r="L17" i="17"/>
  <c r="L25" i="17"/>
  <c r="L33" i="17"/>
  <c r="L41" i="17"/>
  <c r="L49" i="17"/>
  <c r="L57" i="17"/>
  <c r="L65" i="17"/>
  <c r="L73" i="17"/>
  <c r="L81" i="17"/>
  <c r="L89" i="17"/>
  <c r="L21" i="17"/>
  <c r="L45" i="17"/>
  <c r="L61" i="17"/>
  <c r="L93" i="17"/>
  <c r="L38" i="17"/>
  <c r="L62" i="17"/>
  <c r="L94" i="17"/>
  <c r="L55" i="17"/>
  <c r="L87" i="17"/>
  <c r="L18" i="17"/>
  <c r="L26" i="17"/>
  <c r="L34" i="17"/>
  <c r="L42" i="17"/>
  <c r="L50" i="17"/>
  <c r="L58" i="17"/>
  <c r="L66" i="17"/>
  <c r="L74" i="17"/>
  <c r="L82" i="17"/>
  <c r="L90" i="17"/>
  <c r="L37" i="17"/>
  <c r="L77" i="17"/>
  <c r="L30" i="17"/>
  <c r="L78" i="17"/>
  <c r="L47" i="17"/>
  <c r="L19" i="17"/>
  <c r="L27" i="17"/>
  <c r="L35" i="17"/>
  <c r="L43" i="17"/>
  <c r="L51" i="17"/>
  <c r="L59" i="17"/>
  <c r="L67" i="17"/>
  <c r="L75" i="17"/>
  <c r="L83" i="17"/>
  <c r="L91" i="17"/>
  <c r="L29" i="17"/>
  <c r="L53" i="17"/>
  <c r="L85" i="17"/>
  <c r="L46" i="17"/>
  <c r="L70" i="17"/>
  <c r="L23" i="17"/>
  <c r="L39" i="17"/>
  <c r="L71" i="17"/>
  <c r="L95" i="17"/>
  <c r="L20" i="17"/>
  <c r="L28" i="17"/>
  <c r="L36" i="17"/>
  <c r="L44" i="17"/>
  <c r="L52" i="17"/>
  <c r="L60" i="17"/>
  <c r="L68" i="17"/>
  <c r="L76" i="17"/>
  <c r="L84" i="17"/>
  <c r="L92" i="17"/>
  <c r="L69" i="17"/>
  <c r="L22" i="17"/>
  <c r="L54" i="17"/>
  <c r="L86" i="17"/>
  <c r="L31" i="17"/>
  <c r="L63" i="17"/>
  <c r="L79" i="17"/>
  <c r="H22" i="17"/>
  <c r="H30" i="17"/>
  <c r="H38" i="17"/>
  <c r="H46" i="17"/>
  <c r="H54" i="17"/>
  <c r="H62" i="17"/>
  <c r="H70" i="17"/>
  <c r="H78" i="17"/>
  <c r="H86" i="17"/>
  <c r="H94" i="17"/>
  <c r="H23" i="17"/>
  <c r="H31" i="17"/>
  <c r="H39" i="17"/>
  <c r="H47" i="17"/>
  <c r="H55" i="17"/>
  <c r="H63" i="17"/>
  <c r="H71" i="17"/>
  <c r="H79" i="17"/>
  <c r="H87" i="17"/>
  <c r="H95" i="17"/>
  <c r="H75" i="17"/>
  <c r="H36" i="17"/>
  <c r="H68" i="17"/>
  <c r="H29" i="17"/>
  <c r="H16" i="17"/>
  <c r="H24" i="17"/>
  <c r="H32" i="17"/>
  <c r="H40" i="17"/>
  <c r="H48" i="17"/>
  <c r="H56" i="17"/>
  <c r="H64" i="17"/>
  <c r="H72" i="17"/>
  <c r="H80" i="17"/>
  <c r="H88" i="17"/>
  <c r="H15" i="17"/>
  <c r="H19" i="17"/>
  <c r="H35" i="17"/>
  <c r="H59" i="17"/>
  <c r="H83" i="17"/>
  <c r="H28" i="17"/>
  <c r="H60" i="17"/>
  <c r="H84" i="17"/>
  <c r="H21" i="17"/>
  <c r="H17" i="17"/>
  <c r="H25" i="17"/>
  <c r="H33" i="17"/>
  <c r="H41" i="17"/>
  <c r="H49" i="17"/>
  <c r="H57" i="17"/>
  <c r="H65" i="17"/>
  <c r="H73" i="17"/>
  <c r="H81" i="17"/>
  <c r="H89" i="17"/>
  <c r="H27" i="17"/>
  <c r="H43" i="17"/>
  <c r="H67" i="17"/>
  <c r="H91" i="17"/>
  <c r="H20" i="17"/>
  <c r="H52" i="17"/>
  <c r="H76" i="17"/>
  <c r="H18" i="17"/>
  <c r="H26" i="17"/>
  <c r="H34" i="17"/>
  <c r="H42" i="17"/>
  <c r="H50" i="17"/>
  <c r="H58" i="17"/>
  <c r="H66" i="17"/>
  <c r="H74" i="17"/>
  <c r="H82" i="17"/>
  <c r="H90" i="17"/>
  <c r="H51" i="17"/>
  <c r="H44" i="17"/>
  <c r="H92" i="17"/>
  <c r="H37" i="17"/>
  <c r="H53" i="17"/>
  <c r="H69" i="17"/>
  <c r="H77" i="17"/>
  <c r="H93" i="17"/>
  <c r="H61" i="17"/>
  <c r="H85" i="17"/>
  <c r="H45" i="17"/>
  <c r="N17" i="17"/>
  <c r="N25" i="17"/>
  <c r="N33" i="17"/>
  <c r="N41" i="17"/>
  <c r="N49" i="17"/>
  <c r="N57" i="17"/>
  <c r="N65" i="17"/>
  <c r="N73" i="17"/>
  <c r="N81" i="17"/>
  <c r="N89" i="17"/>
  <c r="N18" i="17"/>
  <c r="N26" i="17"/>
  <c r="N34" i="17"/>
  <c r="N42" i="17"/>
  <c r="N50" i="17"/>
  <c r="N58" i="17"/>
  <c r="N66" i="17"/>
  <c r="N74" i="17"/>
  <c r="N82" i="17"/>
  <c r="N90" i="17"/>
  <c r="N30" i="17"/>
  <c r="N54" i="17"/>
  <c r="N78" i="17"/>
  <c r="N39" i="17"/>
  <c r="N55" i="17"/>
  <c r="N71" i="17"/>
  <c r="N87" i="17"/>
  <c r="N24" i="17"/>
  <c r="N48" i="17"/>
  <c r="N64" i="17"/>
  <c r="N15" i="17"/>
  <c r="N19" i="17"/>
  <c r="N27" i="17"/>
  <c r="N35" i="17"/>
  <c r="N43" i="17"/>
  <c r="N51" i="17"/>
  <c r="N59" i="17"/>
  <c r="N67" i="17"/>
  <c r="N75" i="17"/>
  <c r="N83" i="17"/>
  <c r="N91" i="17"/>
  <c r="N38" i="17"/>
  <c r="N86" i="17"/>
  <c r="N31" i="17"/>
  <c r="N40" i="17"/>
  <c r="N88" i="17"/>
  <c r="N20" i="17"/>
  <c r="N28" i="17"/>
  <c r="N36" i="17"/>
  <c r="N44" i="17"/>
  <c r="N52" i="17"/>
  <c r="N60" i="17"/>
  <c r="N68" i="17"/>
  <c r="N76" i="17"/>
  <c r="N84" i="17"/>
  <c r="N92" i="17"/>
  <c r="N22" i="17"/>
  <c r="N46" i="17"/>
  <c r="N70" i="17"/>
  <c r="N94" i="17"/>
  <c r="N23" i="17"/>
  <c r="N95" i="17"/>
  <c r="N32" i="17"/>
  <c r="N72" i="17"/>
  <c r="N21" i="17"/>
  <c r="N29" i="17"/>
  <c r="N37" i="17"/>
  <c r="N45" i="17"/>
  <c r="N53" i="17"/>
  <c r="N61" i="17"/>
  <c r="N69" i="17"/>
  <c r="N77" i="17"/>
  <c r="N85" i="17"/>
  <c r="N93" i="17"/>
  <c r="N62" i="17"/>
  <c r="N47" i="17"/>
  <c r="N63" i="17"/>
  <c r="N79" i="17"/>
  <c r="N16" i="17"/>
  <c r="N56" i="17"/>
  <c r="N80" i="17"/>
  <c r="J23" i="17"/>
  <c r="J31" i="17"/>
  <c r="J39" i="17"/>
  <c r="J47" i="17"/>
  <c r="J55" i="17"/>
  <c r="J63" i="17"/>
  <c r="J71" i="17"/>
  <c r="J79" i="17"/>
  <c r="J87" i="17"/>
  <c r="J95" i="17"/>
  <c r="J16" i="17"/>
  <c r="J24" i="17"/>
  <c r="J32" i="17"/>
  <c r="J40" i="17"/>
  <c r="J48" i="17"/>
  <c r="J56" i="17"/>
  <c r="J64" i="17"/>
  <c r="J72" i="17"/>
  <c r="J80" i="17"/>
  <c r="J88" i="17"/>
  <c r="J15" i="17"/>
  <c r="J44" i="17"/>
  <c r="J37" i="17"/>
  <c r="J69" i="17"/>
  <c r="J85" i="17"/>
  <c r="J30" i="17"/>
  <c r="J70" i="17"/>
  <c r="J17" i="17"/>
  <c r="J25" i="17"/>
  <c r="J33" i="17"/>
  <c r="J41" i="17"/>
  <c r="J49" i="17"/>
  <c r="J57" i="17"/>
  <c r="J65" i="17"/>
  <c r="J73" i="17"/>
  <c r="J81" i="17"/>
  <c r="J89" i="17"/>
  <c r="J20" i="17"/>
  <c r="J52" i="17"/>
  <c r="J76" i="17"/>
  <c r="J84" i="17"/>
  <c r="J53" i="17"/>
  <c r="J22" i="17"/>
  <c r="J62" i="17"/>
  <c r="J18" i="17"/>
  <c r="J26" i="17"/>
  <c r="J34" i="17"/>
  <c r="J42" i="17"/>
  <c r="J50" i="17"/>
  <c r="J58" i="17"/>
  <c r="J66" i="17"/>
  <c r="J74" i="17"/>
  <c r="J82" i="17"/>
  <c r="J90" i="17"/>
  <c r="J36" i="17"/>
  <c r="J60" i="17"/>
  <c r="J68" i="17"/>
  <c r="J92" i="17"/>
  <c r="J21" i="17"/>
  <c r="J45" i="17"/>
  <c r="J77" i="17"/>
  <c r="J46" i="17"/>
  <c r="J78" i="17"/>
  <c r="J94" i="17"/>
  <c r="J19" i="17"/>
  <c r="J27" i="17"/>
  <c r="J35" i="17"/>
  <c r="J43" i="17"/>
  <c r="J51" i="17"/>
  <c r="J59" i="17"/>
  <c r="J67" i="17"/>
  <c r="J75" i="17"/>
  <c r="J83" i="17"/>
  <c r="J91" i="17"/>
  <c r="J28" i="17"/>
  <c r="J29" i="17"/>
  <c r="J61" i="17"/>
  <c r="J93" i="17"/>
  <c r="J38" i="17"/>
  <c r="J54" i="17"/>
  <c r="J86" i="17"/>
  <c r="H5" i="23"/>
  <c r="J14" i="23" s="1"/>
  <c r="G22" i="23"/>
  <c r="G86" i="23"/>
  <c r="G63" i="23"/>
  <c r="G40" i="23"/>
  <c r="G25" i="23"/>
  <c r="G89" i="23"/>
  <c r="G58" i="23"/>
  <c r="G43" i="23"/>
  <c r="G28" i="23"/>
  <c r="G21" i="23"/>
  <c r="G69" i="23"/>
  <c r="G94" i="23"/>
  <c r="G71" i="23"/>
  <c r="G48" i="23"/>
  <c r="G68" i="23"/>
  <c r="G51" i="23"/>
  <c r="G85" i="23"/>
  <c r="G15" i="23"/>
  <c r="G56" i="23"/>
  <c r="G84" i="23"/>
  <c r="G74" i="23"/>
  <c r="G29" i="23"/>
  <c r="G46" i="23"/>
  <c r="G49" i="23"/>
  <c r="G18" i="23"/>
  <c r="G52" i="23"/>
  <c r="G93" i="23"/>
  <c r="G31" i="23"/>
  <c r="G72" i="23"/>
  <c r="G57" i="23"/>
  <c r="G90" i="23"/>
  <c r="G37" i="23"/>
  <c r="G39" i="23"/>
  <c r="G34" i="23"/>
  <c r="G76" i="23"/>
  <c r="G45" i="23"/>
  <c r="G47" i="23"/>
  <c r="G88" i="23"/>
  <c r="G92" i="23"/>
  <c r="G17" i="23"/>
  <c r="G77" i="23"/>
  <c r="G30" i="23"/>
  <c r="G33" i="23"/>
  <c r="G66" i="23"/>
  <c r="G36" i="23"/>
  <c r="G79" i="23"/>
  <c r="G41" i="23"/>
  <c r="G59" i="23"/>
  <c r="G87" i="23"/>
  <c r="G82" i="23"/>
  <c r="G26" i="23"/>
  <c r="G70" i="23"/>
  <c r="G27" i="23"/>
  <c r="G78" i="23"/>
  <c r="G35" i="23"/>
  <c r="G38" i="23"/>
  <c r="G44" i="23"/>
  <c r="G23" i="23"/>
  <c r="G67" i="23"/>
  <c r="G60" i="23"/>
  <c r="G80" i="23"/>
  <c r="G50" i="23"/>
  <c r="G61" i="23"/>
  <c r="G64" i="23"/>
  <c r="G62" i="23"/>
  <c r="G19" i="23"/>
  <c r="G91" i="23"/>
  <c r="G32" i="23"/>
  <c r="G54" i="23"/>
  <c r="G75" i="23"/>
  <c r="G16" i="23"/>
  <c r="G83" i="23"/>
  <c r="G24" i="23"/>
  <c r="G73" i="23"/>
  <c r="G53" i="23"/>
  <c r="G55" i="23"/>
  <c r="G20" i="23"/>
  <c r="G65" i="23"/>
  <c r="G42" i="23"/>
  <c r="G81" i="23"/>
  <c r="D51" i="23"/>
  <c r="D43" i="23"/>
  <c r="D20" i="23"/>
  <c r="D28" i="23"/>
  <c r="D36" i="23"/>
  <c r="D44" i="23"/>
  <c r="D52" i="23"/>
  <c r="D60" i="23"/>
  <c r="D68" i="23"/>
  <c r="D76" i="23"/>
  <c r="D84" i="23"/>
  <c r="D92" i="23"/>
  <c r="D21" i="23"/>
  <c r="D29" i="23"/>
  <c r="D37" i="23"/>
  <c r="D45" i="23"/>
  <c r="D53" i="23"/>
  <c r="D61" i="23"/>
  <c r="D69" i="23"/>
  <c r="D77" i="23"/>
  <c r="D85" i="23"/>
  <c r="D93" i="23"/>
  <c r="D63" i="23"/>
  <c r="D79" i="23"/>
  <c r="D17" i="23"/>
  <c r="D41" i="23"/>
  <c r="D81" i="23"/>
  <c r="D18" i="23"/>
  <c r="D42" i="23"/>
  <c r="D66" i="23"/>
  <c r="D90" i="23"/>
  <c r="D35" i="23"/>
  <c r="D67" i="23"/>
  <c r="D91" i="23"/>
  <c r="D22" i="23"/>
  <c r="D30" i="23"/>
  <c r="D38" i="23"/>
  <c r="D46" i="23"/>
  <c r="D54" i="23"/>
  <c r="D62" i="23"/>
  <c r="D70" i="23"/>
  <c r="D78" i="23"/>
  <c r="D86" i="23"/>
  <c r="D94" i="23"/>
  <c r="D15" i="23"/>
  <c r="D23" i="23"/>
  <c r="D31" i="23"/>
  <c r="D39" i="23"/>
  <c r="D47" i="23"/>
  <c r="D55" i="23"/>
  <c r="D71" i="23"/>
  <c r="D87" i="23"/>
  <c r="D88" i="23"/>
  <c r="D25" i="23"/>
  <c r="D49" i="23"/>
  <c r="D65" i="23"/>
  <c r="D89" i="23"/>
  <c r="D26" i="23"/>
  <c r="D50" i="23"/>
  <c r="D74" i="23"/>
  <c r="D19" i="23"/>
  <c r="D75" i="23"/>
  <c r="D59" i="23"/>
  <c r="D16" i="23"/>
  <c r="D24" i="23"/>
  <c r="D32" i="23"/>
  <c r="D40" i="23"/>
  <c r="D48" i="23"/>
  <c r="D56" i="23"/>
  <c r="D64" i="23"/>
  <c r="D72" i="23"/>
  <c r="D80" i="23"/>
  <c r="D33" i="23"/>
  <c r="D57" i="23"/>
  <c r="D73" i="23"/>
  <c r="D34" i="23"/>
  <c r="D58" i="23"/>
  <c r="D82" i="23"/>
  <c r="D27" i="23"/>
  <c r="D83" i="23"/>
  <c r="K15" i="23"/>
  <c r="K23" i="23"/>
  <c r="K31" i="23"/>
  <c r="K39" i="23"/>
  <c r="K47" i="23"/>
  <c r="K55" i="23"/>
  <c r="K63" i="23"/>
  <c r="K71" i="23"/>
  <c r="K79" i="23"/>
  <c r="K87" i="23"/>
  <c r="K37" i="23"/>
  <c r="K77" i="23"/>
  <c r="K22" i="23"/>
  <c r="K62" i="23"/>
  <c r="K16" i="23"/>
  <c r="K24" i="23"/>
  <c r="K32" i="23"/>
  <c r="K40" i="23"/>
  <c r="K48" i="23"/>
  <c r="K56" i="23"/>
  <c r="K64" i="23"/>
  <c r="K72" i="23"/>
  <c r="K80" i="23"/>
  <c r="K88" i="23"/>
  <c r="K17" i="23"/>
  <c r="K25" i="23"/>
  <c r="K33" i="23"/>
  <c r="K41" i="23"/>
  <c r="K49" i="23"/>
  <c r="K57" i="23"/>
  <c r="K65" i="23"/>
  <c r="K73" i="23"/>
  <c r="K81" i="23"/>
  <c r="K89" i="23"/>
  <c r="K29" i="23"/>
  <c r="K69" i="23"/>
  <c r="K30" i="23"/>
  <c r="K70" i="23"/>
  <c r="K94" i="23"/>
  <c r="K18" i="23"/>
  <c r="K26" i="23"/>
  <c r="K34" i="23"/>
  <c r="K42" i="23"/>
  <c r="K50" i="23"/>
  <c r="K58" i="23"/>
  <c r="K66" i="23"/>
  <c r="K74" i="23"/>
  <c r="K82" i="23"/>
  <c r="K90" i="23"/>
  <c r="K53" i="23"/>
  <c r="K85" i="23"/>
  <c r="K54" i="23"/>
  <c r="K19" i="23"/>
  <c r="K27" i="23"/>
  <c r="K35" i="23"/>
  <c r="K43" i="23"/>
  <c r="K51" i="23"/>
  <c r="K59" i="23"/>
  <c r="K67" i="23"/>
  <c r="K75" i="23"/>
  <c r="K83" i="23"/>
  <c r="K91" i="23"/>
  <c r="K45" i="23"/>
  <c r="K38" i="23"/>
  <c r="K78" i="23"/>
  <c r="K20" i="23"/>
  <c r="K28" i="23"/>
  <c r="K36" i="23"/>
  <c r="K44" i="23"/>
  <c r="K52" i="23"/>
  <c r="K60" i="23"/>
  <c r="K68" i="23"/>
  <c r="K76" i="23"/>
  <c r="K84" i="23"/>
  <c r="K92" i="23"/>
  <c r="K21" i="23"/>
  <c r="K61" i="23"/>
  <c r="K93" i="23"/>
  <c r="K46" i="23"/>
  <c r="K86" i="23"/>
  <c r="J15" i="15"/>
  <c r="G95" i="15"/>
  <c r="G87" i="15"/>
  <c r="G79" i="15"/>
  <c r="G71" i="15"/>
  <c r="G63" i="15"/>
  <c r="G55" i="15"/>
  <c r="G47" i="15"/>
  <c r="G39" i="15"/>
  <c r="G31" i="15"/>
  <c r="G23" i="15"/>
  <c r="G94" i="15"/>
  <c r="G86" i="15"/>
  <c r="G78" i="15"/>
  <c r="G70" i="15"/>
  <c r="G62" i="15"/>
  <c r="G54" i="15"/>
  <c r="G46" i="15"/>
  <c r="G38" i="15"/>
  <c r="G30" i="15"/>
  <c r="G21" i="15"/>
  <c r="G96" i="15"/>
  <c r="G56" i="15"/>
  <c r="G24" i="15"/>
  <c r="G93" i="15"/>
  <c r="G85" i="15"/>
  <c r="G77" i="15"/>
  <c r="G69" i="15"/>
  <c r="G61" i="15"/>
  <c r="G53" i="15"/>
  <c r="G45" i="15"/>
  <c r="G37" i="15"/>
  <c r="G29" i="15"/>
  <c r="G20" i="15"/>
  <c r="G19" i="15"/>
  <c r="G83" i="15"/>
  <c r="G75" i="15"/>
  <c r="G59" i="15"/>
  <c r="G35" i="15"/>
  <c r="G18" i="15"/>
  <c r="G82" i="15"/>
  <c r="G66" i="15"/>
  <c r="G58" i="15"/>
  <c r="G42" i="15"/>
  <c r="G17" i="15"/>
  <c r="G16" i="15"/>
  <c r="G72" i="15"/>
  <c r="G40" i="15"/>
  <c r="G92" i="15"/>
  <c r="G84" i="15"/>
  <c r="G76" i="15"/>
  <c r="G68" i="15"/>
  <c r="G60" i="15"/>
  <c r="G52" i="15"/>
  <c r="G44" i="15"/>
  <c r="G36" i="15"/>
  <c r="G28" i="15"/>
  <c r="G91" i="15"/>
  <c r="G67" i="15"/>
  <c r="G51" i="15"/>
  <c r="G43" i="15"/>
  <c r="G27" i="15"/>
  <c r="G90" i="15"/>
  <c r="G74" i="15"/>
  <c r="G50" i="15"/>
  <c r="G34" i="15"/>
  <c r="G26" i="15"/>
  <c r="G33" i="15"/>
  <c r="G88" i="15"/>
  <c r="G64" i="15"/>
  <c r="G32" i="15"/>
  <c r="G89" i="15"/>
  <c r="G81" i="15"/>
  <c r="G73" i="15"/>
  <c r="G65" i="15"/>
  <c r="G57" i="15"/>
  <c r="G49" i="15"/>
  <c r="G41" i="15"/>
  <c r="G25" i="15"/>
  <c r="G80" i="15"/>
  <c r="G48" i="15"/>
  <c r="G15" i="15"/>
  <c r="M24" i="15"/>
  <c r="M32" i="15"/>
  <c r="M40" i="15"/>
  <c r="M48" i="15"/>
  <c r="M56" i="15"/>
  <c r="M64" i="15"/>
  <c r="M72" i="15"/>
  <c r="M80" i="15"/>
  <c r="M88" i="15"/>
  <c r="M96" i="15"/>
  <c r="M49" i="15"/>
  <c r="M15" i="15"/>
  <c r="M21" i="15"/>
  <c r="M78" i="15"/>
  <c r="M16" i="15"/>
  <c r="M25" i="15"/>
  <c r="M33" i="15"/>
  <c r="M57" i="15"/>
  <c r="M65" i="15"/>
  <c r="M73" i="15"/>
  <c r="M81" i="15"/>
  <c r="M62" i="15"/>
  <c r="M17" i="15"/>
  <c r="M26" i="15"/>
  <c r="M34" i="15"/>
  <c r="M42" i="15"/>
  <c r="M50" i="15"/>
  <c r="M58" i="15"/>
  <c r="M66" i="15"/>
  <c r="M74" i="15"/>
  <c r="M82" i="15"/>
  <c r="M90" i="15"/>
  <c r="M20" i="15"/>
  <c r="M30" i="15"/>
  <c r="M94" i="15"/>
  <c r="M18" i="15"/>
  <c r="M27" i="15"/>
  <c r="M35" i="15"/>
  <c r="M43" i="15"/>
  <c r="M51" i="15"/>
  <c r="M59" i="15"/>
  <c r="M67" i="15"/>
  <c r="M75" i="15"/>
  <c r="M83" i="15"/>
  <c r="M91" i="15"/>
  <c r="M29" i="15"/>
  <c r="M85" i="15"/>
  <c r="M54" i="15"/>
  <c r="M19" i="15"/>
  <c r="M28" i="15"/>
  <c r="M36" i="15"/>
  <c r="M44" i="15"/>
  <c r="M52" i="15"/>
  <c r="M60" i="15"/>
  <c r="M68" i="15"/>
  <c r="M76" i="15"/>
  <c r="M84" i="15"/>
  <c r="M92" i="15"/>
  <c r="M53" i="15"/>
  <c r="M70" i="15"/>
  <c r="M37" i="15"/>
  <c r="M45" i="15"/>
  <c r="M61" i="15"/>
  <c r="M69" i="15"/>
  <c r="M77" i="15"/>
  <c r="M93" i="15"/>
  <c r="M46" i="15"/>
  <c r="M23" i="15"/>
  <c r="M31" i="15"/>
  <c r="M39" i="15"/>
  <c r="M47" i="15"/>
  <c r="M55" i="15"/>
  <c r="M63" i="15"/>
  <c r="M71" i="15"/>
  <c r="M79" i="15"/>
  <c r="M87" i="15"/>
  <c r="M95" i="15"/>
  <c r="M41" i="15"/>
  <c r="M89" i="15"/>
  <c r="M38" i="15"/>
  <c r="M86" i="15"/>
  <c r="P16" i="15"/>
  <c r="P25" i="15"/>
  <c r="P33" i="15"/>
  <c r="P41" i="15"/>
  <c r="P49" i="15"/>
  <c r="P57" i="15"/>
  <c r="P65" i="15"/>
  <c r="P73" i="15"/>
  <c r="P81" i="15"/>
  <c r="P89" i="15"/>
  <c r="P15" i="15"/>
  <c r="P55" i="15"/>
  <c r="P17" i="15"/>
  <c r="P26" i="15"/>
  <c r="P34" i="15"/>
  <c r="P42" i="15"/>
  <c r="P50" i="15"/>
  <c r="P58" i="15"/>
  <c r="P66" i="15"/>
  <c r="P74" i="15"/>
  <c r="P82" i="15"/>
  <c r="P90" i="15"/>
  <c r="P79" i="15"/>
  <c r="P18" i="15"/>
  <c r="P27" i="15"/>
  <c r="P35" i="15"/>
  <c r="P43" i="15"/>
  <c r="P51" i="15"/>
  <c r="P59" i="15"/>
  <c r="P67" i="15"/>
  <c r="P75" i="15"/>
  <c r="P83" i="15"/>
  <c r="P91" i="15"/>
  <c r="P47" i="15"/>
  <c r="P19" i="15"/>
  <c r="P28" i="15"/>
  <c r="P36" i="15"/>
  <c r="P44" i="15"/>
  <c r="P52" i="15"/>
  <c r="P60" i="15"/>
  <c r="P68" i="15"/>
  <c r="P76" i="15"/>
  <c r="P84" i="15"/>
  <c r="P92" i="15"/>
  <c r="P31" i="15"/>
  <c r="P87" i="15"/>
  <c r="P20" i="15"/>
  <c r="P29" i="15"/>
  <c r="P37" i="15"/>
  <c r="P45" i="15"/>
  <c r="P53" i="15"/>
  <c r="P61" i="15"/>
  <c r="P69" i="15"/>
  <c r="P77" i="15"/>
  <c r="P85" i="15"/>
  <c r="P93" i="15"/>
  <c r="P39" i="15"/>
  <c r="P95" i="15"/>
  <c r="P21" i="15"/>
  <c r="P30" i="15"/>
  <c r="P38" i="15"/>
  <c r="P46" i="15"/>
  <c r="P54" i="15"/>
  <c r="P62" i="15"/>
  <c r="P70" i="15"/>
  <c r="P78" i="15"/>
  <c r="P86" i="15"/>
  <c r="P94" i="15"/>
  <c r="P23" i="15"/>
  <c r="P71" i="15"/>
  <c r="P24" i="15"/>
  <c r="P32" i="15"/>
  <c r="P40" i="15"/>
  <c r="P48" i="15"/>
  <c r="P56" i="15"/>
  <c r="P64" i="15"/>
  <c r="P72" i="15"/>
  <c r="P80" i="15"/>
  <c r="P88" i="15"/>
  <c r="P96" i="15"/>
  <c r="P63" i="15"/>
  <c r="S17" i="15"/>
  <c r="S26" i="15"/>
  <c r="S34" i="15"/>
  <c r="S42" i="15"/>
  <c r="S50" i="15"/>
  <c r="S58" i="15"/>
  <c r="S66" i="15"/>
  <c r="S74" i="15"/>
  <c r="S82" i="15"/>
  <c r="S90" i="15"/>
  <c r="S48" i="15"/>
  <c r="S80" i="15"/>
  <c r="S18" i="15"/>
  <c r="S27" i="15"/>
  <c r="S35" i="15"/>
  <c r="S43" i="15"/>
  <c r="S51" i="15"/>
  <c r="S59" i="15"/>
  <c r="S67" i="15"/>
  <c r="S75" i="15"/>
  <c r="S83" i="15"/>
  <c r="S91" i="15"/>
  <c r="S32" i="15"/>
  <c r="S96" i="15"/>
  <c r="S19" i="15"/>
  <c r="S28" i="15"/>
  <c r="S36" i="15"/>
  <c r="S44" i="15"/>
  <c r="S52" i="15"/>
  <c r="S60" i="15"/>
  <c r="S68" i="15"/>
  <c r="S76" i="15"/>
  <c r="S84" i="15"/>
  <c r="S92" i="15"/>
  <c r="S64" i="15"/>
  <c r="S20" i="15"/>
  <c r="S29" i="15"/>
  <c r="S37" i="15"/>
  <c r="S45" i="15"/>
  <c r="S53" i="15"/>
  <c r="S61" i="15"/>
  <c r="S69" i="15"/>
  <c r="S77" i="15"/>
  <c r="S85" i="15"/>
  <c r="S93" i="15"/>
  <c r="S56" i="15"/>
  <c r="S21" i="15"/>
  <c r="S30" i="15"/>
  <c r="S38" i="15"/>
  <c r="S46" i="15"/>
  <c r="S54" i="15"/>
  <c r="S62" i="15"/>
  <c r="S70" i="15"/>
  <c r="S78" i="15"/>
  <c r="S86" i="15"/>
  <c r="S94" i="15"/>
  <c r="S72" i="15"/>
  <c r="S23" i="15"/>
  <c r="S31" i="15"/>
  <c r="S39" i="15"/>
  <c r="S47" i="15"/>
  <c r="S55" i="15"/>
  <c r="S63" i="15"/>
  <c r="S71" i="15"/>
  <c r="S79" i="15"/>
  <c r="S87" i="15"/>
  <c r="S95" i="15"/>
  <c r="S24" i="15"/>
  <c r="S16" i="15"/>
  <c r="S25" i="15"/>
  <c r="S33" i="15"/>
  <c r="S41" i="15"/>
  <c r="S49" i="15"/>
  <c r="S57" i="15"/>
  <c r="S65" i="15"/>
  <c r="S73" i="15"/>
  <c r="S81" i="15"/>
  <c r="S89" i="15"/>
  <c r="S15" i="15"/>
  <c r="S40" i="15"/>
  <c r="S88" i="15"/>
  <c r="F5" i="23"/>
  <c r="H14" i="23" s="1"/>
  <c r="J5" i="23"/>
  <c r="L14" i="23" s="1"/>
  <c r="B5" i="14"/>
  <c r="B7" i="14" s="1"/>
  <c r="B5" i="21"/>
  <c r="B7" i="21" s="1"/>
  <c r="B5" i="12"/>
  <c r="B7" i="12" s="1"/>
  <c r="B5" i="15"/>
  <c r="B7" i="15" s="1"/>
  <c r="U22" i="15" s="1"/>
  <c r="B5" i="11"/>
  <c r="B7" i="11" s="1"/>
  <c r="B7" i="31"/>
  <c r="F32" i="23" l="1"/>
  <c r="F46" i="23"/>
  <c r="F28" i="23"/>
  <c r="F93" i="23"/>
  <c r="F82" i="23"/>
  <c r="F69" i="23"/>
  <c r="F45" i="23"/>
  <c r="F35" i="23"/>
  <c r="F20" i="23"/>
  <c r="F18" i="23"/>
  <c r="F21" i="23"/>
  <c r="F65" i="23"/>
  <c r="F92" i="23"/>
  <c r="F83" i="23"/>
  <c r="F23" i="23"/>
  <c r="F15" i="23"/>
  <c r="F58" i="23"/>
  <c r="F80" i="23"/>
  <c r="F55" i="23"/>
  <c r="F41" i="23"/>
  <c r="F84" i="23"/>
  <c r="F47" i="23"/>
  <c r="F50" i="23"/>
  <c r="F31" i="23"/>
  <c r="F72" i="23"/>
  <c r="F51" i="23"/>
  <c r="F38" i="23"/>
  <c r="F26" i="23"/>
  <c r="F40" i="23"/>
  <c r="F63" i="23"/>
  <c r="F37" i="23"/>
  <c r="F56" i="23"/>
  <c r="F88" i="23"/>
  <c r="F39" i="23"/>
  <c r="F16" i="23"/>
  <c r="F59" i="23"/>
  <c r="F14" i="23"/>
  <c r="F27" i="23"/>
  <c r="F77" i="23"/>
  <c r="F94" i="23"/>
  <c r="F36" i="23"/>
  <c r="F81" i="23"/>
  <c r="F66" i="23"/>
  <c r="F53" i="23"/>
  <c r="F64" i="23"/>
  <c r="F43" i="23"/>
  <c r="F48" i="23"/>
  <c r="F44" i="23"/>
  <c r="F90" i="23"/>
  <c r="F34" i="23"/>
  <c r="F85" i="23"/>
  <c r="F89" i="23"/>
  <c r="F86" i="23"/>
  <c r="F54" i="23"/>
  <c r="F76" i="23"/>
  <c r="F68" i="23"/>
  <c r="F75" i="23"/>
  <c r="F70" i="23"/>
  <c r="F60" i="23"/>
  <c r="F25" i="23"/>
  <c r="F24" i="23"/>
  <c r="F67" i="23"/>
  <c r="F29" i="23"/>
  <c r="F62" i="23"/>
  <c r="F19" i="23"/>
  <c r="F73" i="23"/>
  <c r="F61" i="23"/>
  <c r="F74" i="23"/>
  <c r="F17" i="23"/>
  <c r="F91" i="23"/>
  <c r="F71" i="23"/>
  <c r="F87" i="23"/>
  <c r="F57" i="23"/>
  <c r="F22" i="23"/>
  <c r="F42" i="23"/>
  <c r="F78" i="23"/>
  <c r="F49" i="23"/>
  <c r="F52" i="23"/>
  <c r="F33" i="23"/>
  <c r="F30" i="23"/>
  <c r="F79" i="23"/>
  <c r="M14" i="23"/>
  <c r="K15" i="21"/>
  <c r="K78" i="21"/>
  <c r="K76" i="21"/>
  <c r="K74" i="21"/>
  <c r="K77" i="21"/>
  <c r="K79" i="21"/>
  <c r="K75" i="21"/>
  <c r="U18" i="15"/>
  <c r="U27" i="15"/>
  <c r="U35" i="15"/>
  <c r="U43" i="15"/>
  <c r="U51" i="15"/>
  <c r="U59" i="15"/>
  <c r="U67" i="15"/>
  <c r="U75" i="15"/>
  <c r="U83" i="15"/>
  <c r="U91" i="15"/>
  <c r="U49" i="15"/>
  <c r="U89" i="15"/>
  <c r="U19" i="15"/>
  <c r="U28" i="15"/>
  <c r="U36" i="15"/>
  <c r="U44" i="15"/>
  <c r="U52" i="15"/>
  <c r="U60" i="15"/>
  <c r="U68" i="15"/>
  <c r="U76" i="15"/>
  <c r="U84" i="15"/>
  <c r="U92" i="15"/>
  <c r="U41" i="15"/>
  <c r="U20" i="15"/>
  <c r="U29" i="15"/>
  <c r="U37" i="15"/>
  <c r="U45" i="15"/>
  <c r="U53" i="15"/>
  <c r="U61" i="15"/>
  <c r="U69" i="15"/>
  <c r="U77" i="15"/>
  <c r="U85" i="15"/>
  <c r="U93" i="15"/>
  <c r="U65" i="15"/>
  <c r="U21" i="15"/>
  <c r="U30" i="15"/>
  <c r="U38" i="15"/>
  <c r="U46" i="15"/>
  <c r="U54" i="15"/>
  <c r="U62" i="15"/>
  <c r="U70" i="15"/>
  <c r="U78" i="15"/>
  <c r="U86" i="15"/>
  <c r="U94" i="15"/>
  <c r="U16" i="15"/>
  <c r="U81" i="15"/>
  <c r="U23" i="15"/>
  <c r="U31" i="15"/>
  <c r="U39" i="15"/>
  <c r="U47" i="15"/>
  <c r="U55" i="15"/>
  <c r="U63" i="15"/>
  <c r="U71" i="15"/>
  <c r="U79" i="15"/>
  <c r="U87" i="15"/>
  <c r="U95" i="15"/>
  <c r="U57" i="15"/>
  <c r="U15" i="15"/>
  <c r="U24" i="15"/>
  <c r="U32" i="15"/>
  <c r="U40" i="15"/>
  <c r="U48" i="15"/>
  <c r="U56" i="15"/>
  <c r="U64" i="15"/>
  <c r="U72" i="15"/>
  <c r="U80" i="15"/>
  <c r="U88" i="15"/>
  <c r="U96" i="15"/>
  <c r="U33" i="15"/>
  <c r="U17" i="15"/>
  <c r="U26" i="15"/>
  <c r="U34" i="15"/>
  <c r="U42" i="15"/>
  <c r="U50" i="15"/>
  <c r="U58" i="15"/>
  <c r="U66" i="15"/>
  <c r="U74" i="15"/>
  <c r="U82" i="15"/>
  <c r="U90" i="15"/>
  <c r="U25" i="15"/>
  <c r="U73" i="15"/>
  <c r="F95" i="23" l="1"/>
  <c r="B5" i="10"/>
  <c r="B7" i="10" s="1"/>
  <c r="B7" i="9"/>
  <c r="E96" i="10" l="1"/>
  <c r="D16" i="9"/>
  <c r="F16" i="9" s="1"/>
  <c r="G16" i="9" s="1"/>
  <c r="H16" i="9" s="1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15" i="9"/>
  <c r="D5" i="27" l="1"/>
  <c r="G15" i="27" s="1"/>
  <c r="G17" i="27" l="1"/>
  <c r="G46" i="27"/>
  <c r="G88" i="27"/>
  <c r="G67" i="27"/>
  <c r="G26" i="27"/>
  <c r="G71" i="27"/>
  <c r="G93" i="27"/>
  <c r="G84" i="27"/>
  <c r="G28" i="27"/>
  <c r="G58" i="27"/>
  <c r="G72" i="27"/>
  <c r="G94" i="27"/>
  <c r="G82" i="27"/>
  <c r="G81" i="27"/>
  <c r="G31" i="27"/>
  <c r="G56" i="27"/>
  <c r="G76" i="27"/>
  <c r="G90" i="27"/>
  <c r="G49" i="27"/>
  <c r="G78" i="27"/>
  <c r="G37" i="27"/>
  <c r="G24" i="27"/>
  <c r="G43" i="27"/>
  <c r="G65" i="27"/>
  <c r="G70" i="27"/>
  <c r="G73" i="27"/>
  <c r="G66" i="27"/>
  <c r="G80" i="27"/>
  <c r="G69" i="27"/>
  <c r="G91" i="27"/>
  <c r="G75" i="27"/>
  <c r="G34" i="27"/>
  <c r="G95" i="27"/>
  <c r="G22" i="27"/>
  <c r="G63" i="27"/>
  <c r="G36" i="27"/>
  <c r="G61" i="27"/>
  <c r="G79" i="27"/>
  <c r="G51" i="27"/>
  <c r="G25" i="27"/>
  <c r="G54" i="27"/>
  <c r="G92" i="27"/>
  <c r="G19" i="27"/>
  <c r="G57" i="27"/>
  <c r="G86" i="27"/>
  <c r="G45" i="27"/>
  <c r="G40" i="27"/>
  <c r="G27" i="27"/>
  <c r="G41" i="27"/>
  <c r="G23" i="27"/>
  <c r="G52" i="27"/>
  <c r="G89" i="27"/>
  <c r="G39" i="27"/>
  <c r="G77" i="27"/>
  <c r="G44" i="27"/>
  <c r="G83" i="27"/>
  <c r="G42" i="27"/>
  <c r="G16" i="27"/>
  <c r="G30" i="27"/>
  <c r="G87" i="27"/>
  <c r="G21" i="27"/>
  <c r="G53" i="27"/>
  <c r="G29" i="27"/>
  <c r="G64" i="27"/>
  <c r="G74" i="27"/>
  <c r="G33" i="27"/>
  <c r="G62" i="27"/>
  <c r="G47" i="27"/>
  <c r="G32" i="27"/>
  <c r="G59" i="27"/>
  <c r="G18" i="27"/>
  <c r="G55" i="27"/>
  <c r="G85" i="27"/>
  <c r="G68" i="27"/>
  <c r="G20" i="27"/>
  <c r="G50" i="27"/>
  <c r="G48" i="27"/>
  <c r="G38" i="27"/>
  <c r="G60" i="27"/>
  <c r="G35" i="27"/>
  <c r="I96" i="27" l="1"/>
  <c r="E5" i="9" l="1"/>
  <c r="D96" i="21" l="1"/>
  <c r="D29" i="21"/>
  <c r="D28" i="21"/>
  <c r="D27" i="21"/>
  <c r="D26" i="21"/>
  <c r="D25" i="21"/>
  <c r="D24" i="21"/>
  <c r="D23" i="21"/>
  <c r="D22" i="21"/>
  <c r="D21" i="21"/>
  <c r="D20" i="21"/>
  <c r="D19" i="21"/>
  <c r="D18" i="21"/>
  <c r="D17" i="21"/>
  <c r="D15" i="21"/>
  <c r="K21" i="21" l="1"/>
  <c r="K41" i="21"/>
  <c r="K61" i="21"/>
  <c r="K85" i="21"/>
  <c r="K26" i="21"/>
  <c r="K34" i="21"/>
  <c r="K42" i="21"/>
  <c r="K50" i="21"/>
  <c r="K58" i="21"/>
  <c r="K66" i="21"/>
  <c r="K82" i="21"/>
  <c r="K37" i="21"/>
  <c r="K65" i="21"/>
  <c r="K93" i="21"/>
  <c r="K30" i="21"/>
  <c r="K38" i="21"/>
  <c r="K46" i="21"/>
  <c r="K54" i="21"/>
  <c r="K62" i="21"/>
  <c r="K70" i="21"/>
  <c r="K86" i="21"/>
  <c r="K90" i="21"/>
  <c r="K94" i="21"/>
  <c r="K49" i="21"/>
  <c r="K73" i="21"/>
  <c r="K18" i="21"/>
  <c r="K35" i="21"/>
  <c r="K43" i="21"/>
  <c r="K51" i="21"/>
  <c r="K63" i="21"/>
  <c r="K83" i="21"/>
  <c r="K95" i="21"/>
  <c r="K29" i="21"/>
  <c r="K53" i="21"/>
  <c r="K19" i="21"/>
  <c r="K31" i="21"/>
  <c r="K39" i="21"/>
  <c r="K47" i="21"/>
  <c r="K55" i="21"/>
  <c r="K59" i="21"/>
  <c r="K67" i="21"/>
  <c r="K71" i="21"/>
  <c r="K87" i="21"/>
  <c r="K91" i="21"/>
  <c r="K17" i="21"/>
  <c r="K33" i="21"/>
  <c r="K57" i="21"/>
  <c r="K81" i="21"/>
  <c r="K22" i="21"/>
  <c r="K27" i="21"/>
  <c r="K20" i="21"/>
  <c r="K28" i="21"/>
  <c r="K36" i="21"/>
  <c r="K44" i="21"/>
  <c r="K52" i="21"/>
  <c r="K60" i="21"/>
  <c r="K68" i="21"/>
  <c r="K80" i="21"/>
  <c r="K88" i="21"/>
  <c r="K92" i="21"/>
  <c r="K25" i="21"/>
  <c r="K45" i="21"/>
  <c r="K69" i="21"/>
  <c r="K89" i="21"/>
  <c r="K23" i="21"/>
  <c r="F96" i="21"/>
  <c r="K16" i="21"/>
  <c r="K24" i="21"/>
  <c r="K32" i="21"/>
  <c r="K40" i="21"/>
  <c r="K48" i="21"/>
  <c r="K56" i="21"/>
  <c r="K64" i="21"/>
  <c r="K72" i="21"/>
  <c r="K84" i="21"/>
  <c r="K96" i="21" l="1"/>
  <c r="J96" i="21"/>
  <c r="J33" i="15" l="1"/>
  <c r="J43" i="15" s="1"/>
  <c r="J53" i="15" s="1"/>
  <c r="J63" i="15" s="1"/>
  <c r="J73" i="15" s="1"/>
  <c r="J83" i="15" s="1"/>
  <c r="J93" i="15" s="1"/>
  <c r="J30" i="15"/>
  <c r="J40" i="15" s="1"/>
  <c r="J50" i="15" s="1"/>
  <c r="J60" i="15" s="1"/>
  <c r="J70" i="15" s="1"/>
  <c r="J80" i="15" s="1"/>
  <c r="J90" i="15" s="1"/>
  <c r="J29" i="15"/>
  <c r="J39" i="15" s="1"/>
  <c r="J49" i="15" s="1"/>
  <c r="J59" i="15" s="1"/>
  <c r="J69" i="15" s="1"/>
  <c r="J79" i="15" s="1"/>
  <c r="J89" i="15" s="1"/>
  <c r="J26" i="15"/>
  <c r="J36" i="15" s="1"/>
  <c r="J46" i="15" s="1"/>
  <c r="J56" i="15" s="1"/>
  <c r="J66" i="15" s="1"/>
  <c r="J76" i="15" s="1"/>
  <c r="J86" i="15" s="1"/>
  <c r="J96" i="15" s="1"/>
  <c r="J25" i="15"/>
  <c r="J35" i="15" s="1"/>
  <c r="J45" i="15" s="1"/>
  <c r="J55" i="15" s="1"/>
  <c r="J65" i="15" s="1"/>
  <c r="J75" i="15" s="1"/>
  <c r="J85" i="15" s="1"/>
  <c r="J95" i="15" s="1"/>
  <c r="J24" i="15"/>
  <c r="J34" i="15" s="1"/>
  <c r="J44" i="15" s="1"/>
  <c r="J54" i="15" s="1"/>
  <c r="J64" i="15" s="1"/>
  <c r="J74" i="15" s="1"/>
  <c r="J84" i="15" s="1"/>
  <c r="J94" i="15" s="1"/>
  <c r="J23" i="15"/>
  <c r="J21" i="15"/>
  <c r="J32" i="15" s="1"/>
  <c r="J42" i="15" s="1"/>
  <c r="J52" i="15" s="1"/>
  <c r="J62" i="15" s="1"/>
  <c r="J72" i="15" s="1"/>
  <c r="J82" i="15" s="1"/>
  <c r="J92" i="15" s="1"/>
  <c r="J20" i="15"/>
  <c r="J31" i="15" s="1"/>
  <c r="J41" i="15" s="1"/>
  <c r="J51" i="15" s="1"/>
  <c r="J61" i="15" s="1"/>
  <c r="J71" i="15" s="1"/>
  <c r="J81" i="15" s="1"/>
  <c r="J91" i="15" s="1"/>
  <c r="J19" i="15"/>
  <c r="J18" i="15"/>
  <c r="J17" i="15"/>
  <c r="J28" i="15" s="1"/>
  <c r="J38" i="15" s="1"/>
  <c r="J48" i="15" s="1"/>
  <c r="J58" i="15" s="1"/>
  <c r="J68" i="15" s="1"/>
  <c r="J78" i="15" s="1"/>
  <c r="J88" i="15" s="1"/>
  <c r="J16" i="15"/>
  <c r="J27" i="15" s="1"/>
  <c r="J37" i="15" s="1"/>
  <c r="J47" i="15" s="1"/>
  <c r="J57" i="15" s="1"/>
  <c r="J67" i="15" s="1"/>
  <c r="J77" i="15" s="1"/>
  <c r="J87" i="15" s="1"/>
  <c r="D96" i="17" l="1"/>
  <c r="D95" i="17"/>
  <c r="D94" i="17"/>
  <c r="D93" i="17"/>
  <c r="D92" i="17"/>
  <c r="D91" i="17"/>
  <c r="D90" i="17"/>
  <c r="D89" i="17"/>
  <c r="D88" i="17"/>
  <c r="D87" i="17"/>
  <c r="D86" i="17"/>
  <c r="D85" i="17"/>
  <c r="D84" i="17"/>
  <c r="D83" i="17"/>
  <c r="D82" i="17"/>
  <c r="D81" i="17"/>
  <c r="D80" i="17"/>
  <c r="D79" i="17"/>
  <c r="D78" i="17"/>
  <c r="D77" i="17"/>
  <c r="D76" i="17"/>
  <c r="D75" i="17"/>
  <c r="D74" i="17"/>
  <c r="D73" i="17"/>
  <c r="D72" i="17"/>
  <c r="D71" i="17"/>
  <c r="D70" i="17"/>
  <c r="D69" i="17"/>
  <c r="D68" i="17"/>
  <c r="D67" i="17"/>
  <c r="D66" i="17"/>
  <c r="D65" i="17"/>
  <c r="D64" i="17"/>
  <c r="D63" i="17"/>
  <c r="D62" i="17"/>
  <c r="D61" i="17"/>
  <c r="D60" i="17"/>
  <c r="D59" i="17"/>
  <c r="D58" i="17"/>
  <c r="D57" i="17"/>
  <c r="D56" i="17"/>
  <c r="D55" i="17"/>
  <c r="D54" i="17"/>
  <c r="D53" i="17"/>
  <c r="D52" i="17"/>
  <c r="D51" i="17"/>
  <c r="D50" i="17"/>
  <c r="D49" i="17"/>
  <c r="D48" i="17"/>
  <c r="D47" i="17"/>
  <c r="D46" i="17"/>
  <c r="D45" i="17"/>
  <c r="D44" i="17"/>
  <c r="D43" i="17"/>
  <c r="D42" i="17"/>
  <c r="D41" i="17"/>
  <c r="D40" i="17"/>
  <c r="D39" i="17"/>
  <c r="D38" i="17"/>
  <c r="D37" i="17"/>
  <c r="D36" i="17"/>
  <c r="D35" i="17"/>
  <c r="D34" i="17"/>
  <c r="D33" i="17"/>
  <c r="D32" i="17"/>
  <c r="D31" i="17"/>
  <c r="D30" i="17"/>
  <c r="D29" i="17"/>
  <c r="D28" i="17"/>
  <c r="D27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E96" i="14" l="1"/>
  <c r="D96" i="14"/>
  <c r="D95" i="14"/>
  <c r="F95" i="14" s="1"/>
  <c r="G95" i="14" s="1"/>
  <c r="D94" i="14"/>
  <c r="D93" i="14"/>
  <c r="F93" i="14" s="1"/>
  <c r="G93" i="14" s="1"/>
  <c r="D92" i="14"/>
  <c r="F92" i="14" s="1"/>
  <c r="G92" i="14" s="1"/>
  <c r="D91" i="14"/>
  <c r="F91" i="14" s="1"/>
  <c r="G91" i="14" s="1"/>
  <c r="D90" i="14"/>
  <c r="F90" i="14" s="1"/>
  <c r="G90" i="14" s="1"/>
  <c r="D89" i="14"/>
  <c r="D88" i="14"/>
  <c r="F88" i="14" s="1"/>
  <c r="D87" i="14"/>
  <c r="F87" i="14" s="1"/>
  <c r="G87" i="14" s="1"/>
  <c r="D86" i="14"/>
  <c r="D85" i="14"/>
  <c r="F85" i="14" s="1"/>
  <c r="G85" i="14" s="1"/>
  <c r="D84" i="14"/>
  <c r="F84" i="14" s="1"/>
  <c r="G84" i="14" s="1"/>
  <c r="D83" i="14"/>
  <c r="F83" i="14" s="1"/>
  <c r="G83" i="14" s="1"/>
  <c r="D82" i="14"/>
  <c r="F82" i="14" s="1"/>
  <c r="G82" i="14" s="1"/>
  <c r="D81" i="14"/>
  <c r="D80" i="14"/>
  <c r="F80" i="14" s="1"/>
  <c r="G80" i="14" s="1"/>
  <c r="D79" i="14"/>
  <c r="F79" i="14" s="1"/>
  <c r="G79" i="14" s="1"/>
  <c r="D78" i="14"/>
  <c r="D77" i="14"/>
  <c r="D76" i="14"/>
  <c r="F76" i="14" s="1"/>
  <c r="G76" i="14" s="1"/>
  <c r="D75" i="14"/>
  <c r="F75" i="14" s="1"/>
  <c r="G75" i="14" s="1"/>
  <c r="D74" i="14"/>
  <c r="F74" i="14" s="1"/>
  <c r="G74" i="14" s="1"/>
  <c r="D73" i="14"/>
  <c r="D72" i="14"/>
  <c r="D71" i="14"/>
  <c r="F71" i="14" s="1"/>
  <c r="G71" i="14" s="1"/>
  <c r="D70" i="14"/>
  <c r="D69" i="14"/>
  <c r="D68" i="14"/>
  <c r="F68" i="14" s="1"/>
  <c r="G68" i="14" s="1"/>
  <c r="D67" i="14"/>
  <c r="F67" i="14" s="1"/>
  <c r="G67" i="14" s="1"/>
  <c r="D66" i="14"/>
  <c r="F66" i="14" s="1"/>
  <c r="G66" i="14" s="1"/>
  <c r="D65" i="14"/>
  <c r="D64" i="14"/>
  <c r="F64" i="14" s="1"/>
  <c r="G64" i="14" s="1"/>
  <c r="D63" i="14"/>
  <c r="F63" i="14" s="1"/>
  <c r="G63" i="14" s="1"/>
  <c r="D62" i="14"/>
  <c r="F62" i="14" s="1"/>
  <c r="G62" i="14" s="1"/>
  <c r="D61" i="14"/>
  <c r="F61" i="14" s="1"/>
  <c r="G61" i="14" s="1"/>
  <c r="D60" i="14"/>
  <c r="F60" i="14" s="1"/>
  <c r="G60" i="14" s="1"/>
  <c r="D59" i="14"/>
  <c r="F59" i="14" s="1"/>
  <c r="G59" i="14" s="1"/>
  <c r="D58" i="14"/>
  <c r="D57" i="14"/>
  <c r="D56" i="14"/>
  <c r="D55" i="14"/>
  <c r="F55" i="14" s="1"/>
  <c r="G55" i="14" s="1"/>
  <c r="D54" i="14"/>
  <c r="D53" i="14"/>
  <c r="F53" i="14" s="1"/>
  <c r="G53" i="14" s="1"/>
  <c r="D52" i="14"/>
  <c r="F52" i="14" s="1"/>
  <c r="G52" i="14" s="1"/>
  <c r="D51" i="14"/>
  <c r="F51" i="14" s="1"/>
  <c r="G51" i="14" s="1"/>
  <c r="D50" i="14"/>
  <c r="F50" i="14" s="1"/>
  <c r="G50" i="14" s="1"/>
  <c r="D49" i="14"/>
  <c r="D48" i="14"/>
  <c r="D47" i="14"/>
  <c r="F47" i="14" s="1"/>
  <c r="G47" i="14" s="1"/>
  <c r="D46" i="14"/>
  <c r="D45" i="14"/>
  <c r="F45" i="14" s="1"/>
  <c r="G45" i="14" s="1"/>
  <c r="D44" i="14"/>
  <c r="F44" i="14" s="1"/>
  <c r="G44" i="14" s="1"/>
  <c r="D43" i="14"/>
  <c r="F43" i="14" s="1"/>
  <c r="G43" i="14" s="1"/>
  <c r="D42" i="14"/>
  <c r="D41" i="14"/>
  <c r="D40" i="14"/>
  <c r="D39" i="14"/>
  <c r="F39" i="14" s="1"/>
  <c r="G39" i="14" s="1"/>
  <c r="D38" i="14"/>
  <c r="D37" i="14"/>
  <c r="F37" i="14" s="1"/>
  <c r="G37" i="14" s="1"/>
  <c r="D36" i="14"/>
  <c r="F36" i="14" s="1"/>
  <c r="G36" i="14" s="1"/>
  <c r="D35" i="14"/>
  <c r="D34" i="14"/>
  <c r="D33" i="14"/>
  <c r="D32" i="14"/>
  <c r="D31" i="14"/>
  <c r="F31" i="14" s="1"/>
  <c r="G31" i="14" s="1"/>
  <c r="D30" i="14"/>
  <c r="D29" i="14"/>
  <c r="F29" i="14" s="1"/>
  <c r="G29" i="14" s="1"/>
  <c r="D28" i="14"/>
  <c r="F28" i="14" s="1"/>
  <c r="G28" i="14" s="1"/>
  <c r="D27" i="14"/>
  <c r="D26" i="14"/>
  <c r="D25" i="14"/>
  <c r="D24" i="14"/>
  <c r="D23" i="14"/>
  <c r="F23" i="14" s="1"/>
  <c r="G23" i="14" s="1"/>
  <c r="D22" i="14"/>
  <c r="D21" i="14"/>
  <c r="F21" i="14" s="1"/>
  <c r="D20" i="14"/>
  <c r="F20" i="14" s="1"/>
  <c r="G20" i="14" s="1"/>
  <c r="D19" i="14"/>
  <c r="D18" i="14"/>
  <c r="F18" i="14" s="1"/>
  <c r="G18" i="14" s="1"/>
  <c r="D17" i="14"/>
  <c r="D16" i="14"/>
  <c r="F16" i="14" s="1"/>
  <c r="G16" i="14" s="1"/>
  <c r="D15" i="14"/>
  <c r="H21" i="14" l="1"/>
  <c r="I21" i="14" s="1"/>
  <c r="G21" i="14"/>
  <c r="H88" i="14"/>
  <c r="I88" i="14" s="1"/>
  <c r="G88" i="14"/>
  <c r="H59" i="14"/>
  <c r="I59" i="14" s="1"/>
  <c r="H55" i="14"/>
  <c r="I55" i="14" s="1"/>
  <c r="H44" i="14"/>
  <c r="H16" i="14"/>
  <c r="I16" i="14" s="1"/>
  <c r="H67" i="14"/>
  <c r="I67" i="14" s="1"/>
  <c r="H95" i="14"/>
  <c r="I95" i="14" s="1"/>
  <c r="H60" i="14"/>
  <c r="F94" i="14"/>
  <c r="G94" i="14" s="1"/>
  <c r="F54" i="14"/>
  <c r="H45" i="14"/>
  <c r="H43" i="14"/>
  <c r="F58" i="14"/>
  <c r="G58" i="14" s="1"/>
  <c r="F42" i="14"/>
  <c r="G42" i="14" s="1"/>
  <c r="F77" i="14"/>
  <c r="G77" i="14" s="1"/>
  <c r="H64" i="14"/>
  <c r="F30" i="14"/>
  <c r="G30" i="14" s="1"/>
  <c r="F38" i="14"/>
  <c r="H47" i="14"/>
  <c r="H79" i="14"/>
  <c r="H92" i="14"/>
  <c r="H36" i="14"/>
  <c r="F46" i="14"/>
  <c r="G46" i="14" s="1"/>
  <c r="F69" i="14"/>
  <c r="G69" i="14" s="1"/>
  <c r="H71" i="14"/>
  <c r="F78" i="14"/>
  <c r="H31" i="14"/>
  <c r="F72" i="14"/>
  <c r="G72" i="14" s="1"/>
  <c r="F86" i="14"/>
  <c r="H63" i="14"/>
  <c r="F70" i="14"/>
  <c r="H37" i="14"/>
  <c r="H20" i="14"/>
  <c r="I20" i="14" s="1"/>
  <c r="H18" i="14"/>
  <c r="I18" i="14" s="1"/>
  <c r="F25" i="14"/>
  <c r="G25" i="14" s="1"/>
  <c r="F34" i="14"/>
  <c r="G34" i="14" s="1"/>
  <c r="H75" i="14"/>
  <c r="H39" i="14"/>
  <c r="I39" i="14" s="1"/>
  <c r="H52" i="14"/>
  <c r="F73" i="14"/>
  <c r="G73" i="14" s="1"/>
  <c r="H84" i="14"/>
  <c r="F81" i="14"/>
  <c r="G81" i="14" s="1"/>
  <c r="F19" i="14"/>
  <c r="G19" i="14" s="1"/>
  <c r="F27" i="14"/>
  <c r="G27" i="14" s="1"/>
  <c r="F33" i="14"/>
  <c r="G33" i="14" s="1"/>
  <c r="F41" i="14"/>
  <c r="G41" i="14" s="1"/>
  <c r="H76" i="14"/>
  <c r="H91" i="14"/>
  <c r="H93" i="14"/>
  <c r="F49" i="14"/>
  <c r="G49" i="14" s="1"/>
  <c r="F17" i="14"/>
  <c r="G17" i="14" s="1"/>
  <c r="H61" i="14"/>
  <c r="F65" i="14"/>
  <c r="G65" i="14" s="1"/>
  <c r="H68" i="14"/>
  <c r="I68" i="14" s="1"/>
  <c r="F26" i="14"/>
  <c r="G26" i="14" s="1"/>
  <c r="F35" i="14"/>
  <c r="G35" i="14" s="1"/>
  <c r="H80" i="14"/>
  <c r="H87" i="14"/>
  <c r="I87" i="14" s="1"/>
  <c r="F89" i="14"/>
  <c r="G89" i="14" s="1"/>
  <c r="H94" i="14"/>
  <c r="I94" i="14" s="1"/>
  <c r="F15" i="14"/>
  <c r="G15" i="14" s="1"/>
  <c r="F22" i="14"/>
  <c r="G22" i="14" s="1"/>
  <c r="H23" i="14"/>
  <c r="H29" i="14"/>
  <c r="H53" i="14"/>
  <c r="F57" i="14"/>
  <c r="G57" i="14" s="1"/>
  <c r="H62" i="14"/>
  <c r="I62" i="14" s="1"/>
  <c r="H28" i="14"/>
  <c r="H51" i="14"/>
  <c r="H83" i="14"/>
  <c r="H85" i="14"/>
  <c r="F24" i="14"/>
  <c r="G24" i="14" s="1"/>
  <c r="F32" i="14"/>
  <c r="G32" i="14" s="1"/>
  <c r="F40" i="14"/>
  <c r="G40" i="14" s="1"/>
  <c r="F48" i="14"/>
  <c r="G48" i="14" s="1"/>
  <c r="H50" i="14"/>
  <c r="F56" i="14"/>
  <c r="G56" i="14" s="1"/>
  <c r="H66" i="14"/>
  <c r="H74" i="14"/>
  <c r="H82" i="14"/>
  <c r="H90" i="14"/>
  <c r="E96" i="11"/>
  <c r="H58" i="14" l="1"/>
  <c r="I58" i="14" s="1"/>
  <c r="J58" i="14" s="1"/>
  <c r="J88" i="14"/>
  <c r="J21" i="14"/>
  <c r="I76" i="14"/>
  <c r="J76" i="14" s="1"/>
  <c r="I75" i="14"/>
  <c r="J75" i="14" s="1"/>
  <c r="I84" i="14"/>
  <c r="J84" i="14" s="1"/>
  <c r="I63" i="14"/>
  <c r="J63" i="14" s="1"/>
  <c r="I36" i="14"/>
  <c r="J36" i="14" s="1"/>
  <c r="I66" i="14"/>
  <c r="J66" i="14" s="1"/>
  <c r="H86" i="14"/>
  <c r="I86" i="14" s="1"/>
  <c r="G86" i="14"/>
  <c r="I92" i="14"/>
  <c r="J92" i="14" s="1"/>
  <c r="I50" i="14"/>
  <c r="J50" i="14" s="1"/>
  <c r="I79" i="14"/>
  <c r="J79" i="14" s="1"/>
  <c r="I52" i="14"/>
  <c r="J52" i="14" s="1"/>
  <c r="I31" i="14"/>
  <c r="J31" i="14" s="1"/>
  <c r="I47" i="14"/>
  <c r="J47" i="14" s="1"/>
  <c r="I45" i="14"/>
  <c r="J45" i="14" s="1"/>
  <c r="I51" i="14"/>
  <c r="J51" i="14" s="1"/>
  <c r="I61" i="14"/>
  <c r="J61" i="14" s="1"/>
  <c r="H70" i="14"/>
  <c r="I70" i="14" s="1"/>
  <c r="G70" i="14"/>
  <c r="J70" i="14" s="1"/>
  <c r="I43" i="14"/>
  <c r="J43" i="14" s="1"/>
  <c r="I53" i="14"/>
  <c r="J53" i="14" s="1"/>
  <c r="I93" i="14"/>
  <c r="J93" i="14" s="1"/>
  <c r="I85" i="14"/>
  <c r="J85" i="14" s="1"/>
  <c r="I29" i="14"/>
  <c r="J29" i="14" s="1"/>
  <c r="I91" i="14"/>
  <c r="J91" i="14" s="1"/>
  <c r="H78" i="14"/>
  <c r="I78" i="14" s="1"/>
  <c r="G78" i="14"/>
  <c r="J78" i="14" s="1"/>
  <c r="H38" i="14"/>
  <c r="I38" i="14" s="1"/>
  <c r="G38" i="14"/>
  <c r="H54" i="14"/>
  <c r="I54" i="14" s="1"/>
  <c r="G54" i="14"/>
  <c r="I44" i="14"/>
  <c r="J44" i="14" s="1"/>
  <c r="I90" i="14"/>
  <c r="J90" i="14" s="1"/>
  <c r="I82" i="14"/>
  <c r="J82" i="14" s="1"/>
  <c r="I83" i="14"/>
  <c r="J83" i="14" s="1"/>
  <c r="I23" i="14"/>
  <c r="J23" i="14" s="1"/>
  <c r="I37" i="14"/>
  <c r="J37" i="14" s="1"/>
  <c r="I71" i="14"/>
  <c r="J71" i="14" s="1"/>
  <c r="I64" i="14"/>
  <c r="J64" i="14" s="1"/>
  <c r="I60" i="14"/>
  <c r="J60" i="14" s="1"/>
  <c r="I74" i="14"/>
  <c r="J74" i="14" s="1"/>
  <c r="I28" i="14"/>
  <c r="J28" i="14" s="1"/>
  <c r="I80" i="14"/>
  <c r="J80" i="14" s="1"/>
  <c r="H77" i="14"/>
  <c r="J67" i="14"/>
  <c r="J16" i="14"/>
  <c r="J59" i="14"/>
  <c r="J55" i="14"/>
  <c r="H72" i="14"/>
  <c r="H30" i="14"/>
  <c r="H46" i="14"/>
  <c r="J18" i="14"/>
  <c r="J95" i="14"/>
  <c r="H69" i="14"/>
  <c r="H41" i="14"/>
  <c r="J39" i="14"/>
  <c r="H26" i="14"/>
  <c r="H42" i="14"/>
  <c r="H40" i="14"/>
  <c r="H32" i="14"/>
  <c r="J87" i="14"/>
  <c r="J20" i="14"/>
  <c r="J62" i="14"/>
  <c r="H56" i="14"/>
  <c r="H89" i="14"/>
  <c r="H65" i="14"/>
  <c r="H35" i="14"/>
  <c r="H24" i="14"/>
  <c r="J94" i="14"/>
  <c r="H73" i="14"/>
  <c r="H25" i="14"/>
  <c r="H22" i="14"/>
  <c r="I22" i="14" s="1"/>
  <c r="H57" i="14"/>
  <c r="J68" i="14"/>
  <c r="H49" i="14"/>
  <c r="H33" i="14"/>
  <c r="H81" i="14"/>
  <c r="H27" i="14"/>
  <c r="H34" i="14"/>
  <c r="H17" i="14"/>
  <c r="H48" i="14"/>
  <c r="F96" i="14"/>
  <c r="H15" i="14"/>
  <c r="I15" i="14" s="1"/>
  <c r="J15" i="14" s="1"/>
  <c r="H19" i="14"/>
  <c r="J86" i="14" l="1"/>
  <c r="J54" i="14"/>
  <c r="J38" i="14"/>
  <c r="I27" i="14"/>
  <c r="J27" i="14" s="1"/>
  <c r="I46" i="14"/>
  <c r="J46" i="14" s="1"/>
  <c r="I89" i="14"/>
  <c r="J89" i="14" s="1"/>
  <c r="I30" i="14"/>
  <c r="J30" i="14" s="1"/>
  <c r="I65" i="14"/>
  <c r="J65" i="14" s="1"/>
  <c r="I41" i="14"/>
  <c r="J41" i="14" s="1"/>
  <c r="I26" i="14"/>
  <c r="J26" i="14" s="1"/>
  <c r="I19" i="14"/>
  <c r="J19" i="14" s="1"/>
  <c r="I81" i="14"/>
  <c r="J81" i="14" s="1"/>
  <c r="I33" i="14"/>
  <c r="J33" i="14" s="1"/>
  <c r="I69" i="14"/>
  <c r="J69" i="14" s="1"/>
  <c r="I72" i="14"/>
  <c r="J72" i="14" s="1"/>
  <c r="I77" i="14"/>
  <c r="J77" i="14" s="1"/>
  <c r="I48" i="14"/>
  <c r="J48" i="14" s="1"/>
  <c r="I25" i="14"/>
  <c r="J25" i="14" s="1"/>
  <c r="I49" i="14"/>
  <c r="J49" i="14" s="1"/>
  <c r="I56" i="14"/>
  <c r="J56" i="14" s="1"/>
  <c r="I17" i="14"/>
  <c r="I57" i="14"/>
  <c r="J57" i="14" s="1"/>
  <c r="I73" i="14"/>
  <c r="J73" i="14" s="1"/>
  <c r="I24" i="14"/>
  <c r="J24" i="14" s="1"/>
  <c r="I40" i="14"/>
  <c r="J40" i="14" s="1"/>
  <c r="I34" i="14"/>
  <c r="J34" i="14" s="1"/>
  <c r="I35" i="14"/>
  <c r="J35" i="14" s="1"/>
  <c r="I32" i="14"/>
  <c r="J32" i="14" s="1"/>
  <c r="I42" i="14"/>
  <c r="J42" i="14" s="1"/>
  <c r="J22" i="14"/>
  <c r="H96" i="14"/>
  <c r="G96" i="14"/>
  <c r="I96" i="14" l="1"/>
  <c r="J17" i="14"/>
  <c r="J96" i="14" l="1"/>
  <c r="E96" i="12"/>
  <c r="D96" i="12" l="1"/>
  <c r="D95" i="12"/>
  <c r="F95" i="12" s="1"/>
  <c r="G95" i="12" s="1"/>
  <c r="D94" i="12"/>
  <c r="F94" i="12" s="1"/>
  <c r="G94" i="12" s="1"/>
  <c r="D93" i="12"/>
  <c r="F93" i="12" s="1"/>
  <c r="G93" i="12" s="1"/>
  <c r="D92" i="12"/>
  <c r="F92" i="12" s="1"/>
  <c r="G92" i="12" s="1"/>
  <c r="D91" i="12"/>
  <c r="F91" i="12" s="1"/>
  <c r="G91" i="12" s="1"/>
  <c r="D90" i="12"/>
  <c r="F90" i="12" s="1"/>
  <c r="G90" i="12" s="1"/>
  <c r="D89" i="12"/>
  <c r="F89" i="12" s="1"/>
  <c r="G89" i="12" s="1"/>
  <c r="D88" i="12"/>
  <c r="F88" i="12" s="1"/>
  <c r="G88" i="12" s="1"/>
  <c r="D87" i="12"/>
  <c r="F87" i="12" s="1"/>
  <c r="G87" i="12" s="1"/>
  <c r="D86" i="12"/>
  <c r="F86" i="12" s="1"/>
  <c r="G86" i="12" s="1"/>
  <c r="D85" i="12"/>
  <c r="F85" i="12" s="1"/>
  <c r="G85" i="12" s="1"/>
  <c r="D84" i="12"/>
  <c r="F84" i="12" s="1"/>
  <c r="G84" i="12" s="1"/>
  <c r="D83" i="12"/>
  <c r="F83" i="12" s="1"/>
  <c r="G83" i="12" s="1"/>
  <c r="D82" i="12"/>
  <c r="F82" i="12" s="1"/>
  <c r="G82" i="12" s="1"/>
  <c r="D81" i="12"/>
  <c r="F81" i="12" s="1"/>
  <c r="G81" i="12" s="1"/>
  <c r="D80" i="12"/>
  <c r="F80" i="12" s="1"/>
  <c r="G80" i="12" s="1"/>
  <c r="D79" i="12"/>
  <c r="F79" i="12" s="1"/>
  <c r="G79" i="12" s="1"/>
  <c r="D78" i="12"/>
  <c r="F78" i="12" s="1"/>
  <c r="G78" i="12" s="1"/>
  <c r="D77" i="12"/>
  <c r="F77" i="12" s="1"/>
  <c r="G77" i="12" s="1"/>
  <c r="D76" i="12"/>
  <c r="F76" i="12" s="1"/>
  <c r="G76" i="12" s="1"/>
  <c r="D75" i="12"/>
  <c r="F75" i="12" s="1"/>
  <c r="G75" i="12" s="1"/>
  <c r="D74" i="12"/>
  <c r="F74" i="12" s="1"/>
  <c r="G74" i="12" s="1"/>
  <c r="D73" i="12"/>
  <c r="F73" i="12" s="1"/>
  <c r="G73" i="12" s="1"/>
  <c r="D72" i="12"/>
  <c r="F72" i="12" s="1"/>
  <c r="G72" i="12" s="1"/>
  <c r="D71" i="12"/>
  <c r="F71" i="12" s="1"/>
  <c r="G71" i="12" s="1"/>
  <c r="D70" i="12"/>
  <c r="F70" i="12" s="1"/>
  <c r="G70" i="12" s="1"/>
  <c r="D69" i="12"/>
  <c r="F69" i="12" s="1"/>
  <c r="G69" i="12" s="1"/>
  <c r="D68" i="12"/>
  <c r="F68" i="12" s="1"/>
  <c r="G68" i="12" s="1"/>
  <c r="D67" i="12"/>
  <c r="F67" i="12" s="1"/>
  <c r="G67" i="12" s="1"/>
  <c r="D66" i="12"/>
  <c r="F66" i="12" s="1"/>
  <c r="G66" i="12" s="1"/>
  <c r="D65" i="12"/>
  <c r="F65" i="12" s="1"/>
  <c r="G65" i="12" s="1"/>
  <c r="D64" i="12"/>
  <c r="F64" i="12" s="1"/>
  <c r="G64" i="12" s="1"/>
  <c r="D63" i="12"/>
  <c r="F63" i="12" s="1"/>
  <c r="G63" i="12" s="1"/>
  <c r="D62" i="12"/>
  <c r="F62" i="12" s="1"/>
  <c r="G62" i="12" s="1"/>
  <c r="D61" i="12"/>
  <c r="F61" i="12" s="1"/>
  <c r="G61" i="12" s="1"/>
  <c r="D60" i="12"/>
  <c r="F60" i="12" s="1"/>
  <c r="G60" i="12" s="1"/>
  <c r="D59" i="12"/>
  <c r="F59" i="12" s="1"/>
  <c r="G59" i="12" s="1"/>
  <c r="D58" i="12"/>
  <c r="F58" i="12" s="1"/>
  <c r="G58" i="12" s="1"/>
  <c r="D57" i="12"/>
  <c r="F57" i="12" s="1"/>
  <c r="G57" i="12" s="1"/>
  <c r="D56" i="12"/>
  <c r="F56" i="12" s="1"/>
  <c r="G56" i="12" s="1"/>
  <c r="D55" i="12"/>
  <c r="F55" i="12" s="1"/>
  <c r="G55" i="12" s="1"/>
  <c r="D54" i="12"/>
  <c r="F54" i="12" s="1"/>
  <c r="G54" i="12" s="1"/>
  <c r="D53" i="12"/>
  <c r="F53" i="12" s="1"/>
  <c r="G53" i="12" s="1"/>
  <c r="D52" i="12"/>
  <c r="F52" i="12" s="1"/>
  <c r="G52" i="12" s="1"/>
  <c r="D51" i="12"/>
  <c r="F51" i="12" s="1"/>
  <c r="G51" i="12" s="1"/>
  <c r="D50" i="12"/>
  <c r="F50" i="12" s="1"/>
  <c r="G50" i="12" s="1"/>
  <c r="D49" i="12"/>
  <c r="F49" i="12" s="1"/>
  <c r="G49" i="12" s="1"/>
  <c r="D48" i="12"/>
  <c r="F48" i="12" s="1"/>
  <c r="G48" i="12" s="1"/>
  <c r="D47" i="12"/>
  <c r="F47" i="12" s="1"/>
  <c r="G47" i="12" s="1"/>
  <c r="D46" i="12"/>
  <c r="F46" i="12" s="1"/>
  <c r="G46" i="12" s="1"/>
  <c r="D45" i="12"/>
  <c r="F45" i="12" s="1"/>
  <c r="G45" i="12" s="1"/>
  <c r="D44" i="12"/>
  <c r="F44" i="12" s="1"/>
  <c r="G44" i="12" s="1"/>
  <c r="D43" i="12"/>
  <c r="F43" i="12" s="1"/>
  <c r="G43" i="12" s="1"/>
  <c r="D42" i="12"/>
  <c r="F42" i="12" s="1"/>
  <c r="G42" i="12" s="1"/>
  <c r="D41" i="12"/>
  <c r="F41" i="12" s="1"/>
  <c r="G41" i="12" s="1"/>
  <c r="D40" i="12"/>
  <c r="F40" i="12" s="1"/>
  <c r="G40" i="12" s="1"/>
  <c r="D39" i="12"/>
  <c r="F39" i="12" s="1"/>
  <c r="G39" i="12" s="1"/>
  <c r="D38" i="12"/>
  <c r="F38" i="12" s="1"/>
  <c r="G38" i="12" s="1"/>
  <c r="D37" i="12"/>
  <c r="F37" i="12" s="1"/>
  <c r="G37" i="12" s="1"/>
  <c r="D36" i="12"/>
  <c r="F36" i="12" s="1"/>
  <c r="G36" i="12" s="1"/>
  <c r="D35" i="12"/>
  <c r="F35" i="12" s="1"/>
  <c r="G35" i="12" s="1"/>
  <c r="D34" i="12"/>
  <c r="F34" i="12" s="1"/>
  <c r="G34" i="12" s="1"/>
  <c r="D33" i="12"/>
  <c r="F33" i="12" s="1"/>
  <c r="G33" i="12" s="1"/>
  <c r="D32" i="12"/>
  <c r="F32" i="12" s="1"/>
  <c r="G32" i="12" s="1"/>
  <c r="D31" i="12"/>
  <c r="F31" i="12" s="1"/>
  <c r="G31" i="12" s="1"/>
  <c r="D30" i="12"/>
  <c r="F30" i="12" s="1"/>
  <c r="G30" i="12" s="1"/>
  <c r="D29" i="12"/>
  <c r="F29" i="12" s="1"/>
  <c r="G29" i="12" s="1"/>
  <c r="D28" i="12"/>
  <c r="F28" i="12" s="1"/>
  <c r="G28" i="12" s="1"/>
  <c r="D27" i="12"/>
  <c r="F27" i="12" s="1"/>
  <c r="G27" i="12" s="1"/>
  <c r="D26" i="12"/>
  <c r="F26" i="12" s="1"/>
  <c r="G26" i="12" s="1"/>
  <c r="D25" i="12"/>
  <c r="F25" i="12" s="1"/>
  <c r="G25" i="12" s="1"/>
  <c r="D24" i="12"/>
  <c r="F24" i="12" s="1"/>
  <c r="G24" i="12" s="1"/>
  <c r="D23" i="12"/>
  <c r="F23" i="12" s="1"/>
  <c r="G23" i="12" s="1"/>
  <c r="D22" i="12"/>
  <c r="F22" i="12" s="1"/>
  <c r="G22" i="12" s="1"/>
  <c r="D21" i="12"/>
  <c r="F21" i="12" s="1"/>
  <c r="G21" i="12" s="1"/>
  <c r="D20" i="12"/>
  <c r="F20" i="12" s="1"/>
  <c r="G20" i="12" s="1"/>
  <c r="D19" i="12"/>
  <c r="F19" i="12" s="1"/>
  <c r="G19" i="12" s="1"/>
  <c r="D18" i="12"/>
  <c r="F18" i="12" s="1"/>
  <c r="G18" i="12" s="1"/>
  <c r="D17" i="12"/>
  <c r="F17" i="12" s="1"/>
  <c r="G17" i="12" s="1"/>
  <c r="D16" i="12"/>
  <c r="F16" i="12" s="1"/>
  <c r="G16" i="12" s="1"/>
  <c r="F15" i="12"/>
  <c r="G15" i="12" s="1"/>
  <c r="D96" i="11"/>
  <c r="D95" i="11"/>
  <c r="F95" i="11" s="1"/>
  <c r="D94" i="11"/>
  <c r="F94" i="11" s="1"/>
  <c r="G94" i="11" s="1"/>
  <c r="D93" i="11"/>
  <c r="F93" i="11" s="1"/>
  <c r="G93" i="11" s="1"/>
  <c r="D92" i="11"/>
  <c r="F92" i="11" s="1"/>
  <c r="D91" i="11"/>
  <c r="F91" i="11" s="1"/>
  <c r="D90" i="11"/>
  <c r="F90" i="11" s="1"/>
  <c r="G90" i="11" s="1"/>
  <c r="D89" i="11"/>
  <c r="F89" i="11" s="1"/>
  <c r="G89" i="11" s="1"/>
  <c r="D88" i="11"/>
  <c r="F88" i="11" s="1"/>
  <c r="D87" i="11"/>
  <c r="F87" i="11" s="1"/>
  <c r="D86" i="11"/>
  <c r="F86" i="11" s="1"/>
  <c r="G86" i="11" s="1"/>
  <c r="D85" i="11"/>
  <c r="F85" i="11" s="1"/>
  <c r="G85" i="11" s="1"/>
  <c r="D84" i="11"/>
  <c r="F84" i="11" s="1"/>
  <c r="D83" i="11"/>
  <c r="F83" i="11" s="1"/>
  <c r="D82" i="11"/>
  <c r="F82" i="11" s="1"/>
  <c r="G82" i="11" s="1"/>
  <c r="D81" i="11"/>
  <c r="F81" i="11" s="1"/>
  <c r="G81" i="11" s="1"/>
  <c r="D80" i="11"/>
  <c r="F80" i="11" s="1"/>
  <c r="D79" i="11"/>
  <c r="F79" i="11" s="1"/>
  <c r="D78" i="11"/>
  <c r="F78" i="11" s="1"/>
  <c r="G78" i="11" s="1"/>
  <c r="D77" i="11"/>
  <c r="F77" i="11" s="1"/>
  <c r="G77" i="11" s="1"/>
  <c r="D76" i="11"/>
  <c r="F76" i="11" s="1"/>
  <c r="D75" i="11"/>
  <c r="F75" i="11" s="1"/>
  <c r="D74" i="11"/>
  <c r="F74" i="11" s="1"/>
  <c r="G74" i="11" s="1"/>
  <c r="D73" i="11"/>
  <c r="F73" i="11" s="1"/>
  <c r="G73" i="11" s="1"/>
  <c r="D72" i="11"/>
  <c r="F72" i="11" s="1"/>
  <c r="D71" i="11"/>
  <c r="F71" i="11" s="1"/>
  <c r="D70" i="11"/>
  <c r="F70" i="11" s="1"/>
  <c r="G70" i="11" s="1"/>
  <c r="D69" i="11"/>
  <c r="F69" i="11" s="1"/>
  <c r="G69" i="11" s="1"/>
  <c r="D68" i="11"/>
  <c r="F68" i="11" s="1"/>
  <c r="D67" i="11"/>
  <c r="F67" i="11" s="1"/>
  <c r="D66" i="11"/>
  <c r="F66" i="11" s="1"/>
  <c r="G66" i="11" s="1"/>
  <c r="D65" i="11"/>
  <c r="F65" i="11" s="1"/>
  <c r="G65" i="11" s="1"/>
  <c r="D64" i="11"/>
  <c r="F64" i="11" s="1"/>
  <c r="D63" i="11"/>
  <c r="F63" i="11" s="1"/>
  <c r="G63" i="11" s="1"/>
  <c r="D62" i="11"/>
  <c r="F62" i="11" s="1"/>
  <c r="D61" i="11"/>
  <c r="F61" i="11" s="1"/>
  <c r="G61" i="11" s="1"/>
  <c r="D60" i="11"/>
  <c r="F60" i="11" s="1"/>
  <c r="D59" i="11"/>
  <c r="F59" i="11" s="1"/>
  <c r="D58" i="11"/>
  <c r="F58" i="11" s="1"/>
  <c r="G58" i="11" s="1"/>
  <c r="D57" i="11"/>
  <c r="F57" i="11" s="1"/>
  <c r="G57" i="11" s="1"/>
  <c r="D56" i="11"/>
  <c r="F56" i="11" s="1"/>
  <c r="D55" i="11"/>
  <c r="F55" i="11" s="1"/>
  <c r="G55" i="11" s="1"/>
  <c r="D54" i="11"/>
  <c r="F54" i="11" s="1"/>
  <c r="D53" i="11"/>
  <c r="F53" i="11" s="1"/>
  <c r="G53" i="11" s="1"/>
  <c r="D52" i="11"/>
  <c r="F52" i="11" s="1"/>
  <c r="D51" i="11"/>
  <c r="F51" i="11" s="1"/>
  <c r="D50" i="11"/>
  <c r="F50" i="11" s="1"/>
  <c r="G50" i="11" s="1"/>
  <c r="D49" i="11"/>
  <c r="F49" i="11" s="1"/>
  <c r="G49" i="11" s="1"/>
  <c r="D48" i="11"/>
  <c r="F48" i="11" s="1"/>
  <c r="D47" i="11"/>
  <c r="F47" i="11" s="1"/>
  <c r="G47" i="11" s="1"/>
  <c r="D46" i="11"/>
  <c r="F46" i="11" s="1"/>
  <c r="D45" i="11"/>
  <c r="F45" i="11" s="1"/>
  <c r="G45" i="11" s="1"/>
  <c r="D44" i="11"/>
  <c r="F44" i="11" s="1"/>
  <c r="D43" i="11"/>
  <c r="F43" i="11" s="1"/>
  <c r="G43" i="11" s="1"/>
  <c r="D42" i="11"/>
  <c r="F42" i="11" s="1"/>
  <c r="G42" i="11" s="1"/>
  <c r="D41" i="11"/>
  <c r="F41" i="11" s="1"/>
  <c r="G41" i="11" s="1"/>
  <c r="D40" i="11"/>
  <c r="F40" i="11" s="1"/>
  <c r="D39" i="11"/>
  <c r="F39" i="11" s="1"/>
  <c r="G39" i="11" s="1"/>
  <c r="D38" i="11"/>
  <c r="F38" i="11" s="1"/>
  <c r="D37" i="11"/>
  <c r="F37" i="11" s="1"/>
  <c r="G37" i="11" s="1"/>
  <c r="D36" i="11"/>
  <c r="F36" i="11" s="1"/>
  <c r="D35" i="11"/>
  <c r="F35" i="11" s="1"/>
  <c r="D34" i="11"/>
  <c r="F34" i="11" s="1"/>
  <c r="G34" i="11" s="1"/>
  <c r="D33" i="11"/>
  <c r="F33" i="11" s="1"/>
  <c r="G33" i="11" s="1"/>
  <c r="D32" i="11"/>
  <c r="F32" i="11" s="1"/>
  <c r="D31" i="11"/>
  <c r="F31" i="11" s="1"/>
  <c r="G31" i="11" s="1"/>
  <c r="D30" i="11"/>
  <c r="F30" i="11" s="1"/>
  <c r="D29" i="11"/>
  <c r="F29" i="11" s="1"/>
  <c r="G29" i="11" s="1"/>
  <c r="D28" i="11"/>
  <c r="F28" i="11" s="1"/>
  <c r="D27" i="11"/>
  <c r="F27" i="11" s="1"/>
  <c r="D26" i="11"/>
  <c r="F26" i="11" s="1"/>
  <c r="G26" i="11" s="1"/>
  <c r="D25" i="11"/>
  <c r="F25" i="11" s="1"/>
  <c r="G25" i="11" s="1"/>
  <c r="D24" i="11"/>
  <c r="F24" i="11" s="1"/>
  <c r="D23" i="11"/>
  <c r="F23" i="11" s="1"/>
  <c r="G23" i="11" s="1"/>
  <c r="D22" i="11"/>
  <c r="F22" i="11" s="1"/>
  <c r="D21" i="11"/>
  <c r="F21" i="11" s="1"/>
  <c r="G21" i="11" s="1"/>
  <c r="D20" i="11"/>
  <c r="F20" i="11" s="1"/>
  <c r="D19" i="11"/>
  <c r="F19" i="11" s="1"/>
  <c r="D18" i="11"/>
  <c r="F18" i="11" s="1"/>
  <c r="G18" i="11" s="1"/>
  <c r="D17" i="11"/>
  <c r="F17" i="11" s="1"/>
  <c r="G17" i="11" s="1"/>
  <c r="D16" i="11"/>
  <c r="F16" i="11" s="1"/>
  <c r="D15" i="11"/>
  <c r="F15" i="11" s="1"/>
  <c r="G15" i="11" s="1"/>
  <c r="H51" i="11" l="1"/>
  <c r="I51" i="11" s="1"/>
  <c r="G51" i="11"/>
  <c r="H15" i="12"/>
  <c r="I15" i="12" s="1"/>
  <c r="J15" i="12" s="1"/>
  <c r="H67" i="11"/>
  <c r="I67" i="11" s="1"/>
  <c r="G67" i="11"/>
  <c r="H24" i="11"/>
  <c r="I24" i="11" s="1"/>
  <c r="G24" i="11"/>
  <c r="H32" i="11"/>
  <c r="I32" i="11" s="1"/>
  <c r="G32" i="11"/>
  <c r="H40" i="11"/>
  <c r="I40" i="11" s="1"/>
  <c r="G40" i="11"/>
  <c r="H52" i="11"/>
  <c r="I52" i="11" s="1"/>
  <c r="G52" i="11"/>
  <c r="H68" i="11"/>
  <c r="I68" i="11" s="1"/>
  <c r="G68" i="11"/>
  <c r="H84" i="11"/>
  <c r="I84" i="11" s="1"/>
  <c r="G84" i="11"/>
  <c r="H47" i="12"/>
  <c r="I47" i="12" s="1"/>
  <c r="H59" i="12"/>
  <c r="I59" i="12" s="1"/>
  <c r="H86" i="12"/>
  <c r="I86" i="12" s="1"/>
  <c r="H38" i="12"/>
  <c r="I38" i="12" s="1"/>
  <c r="H40" i="12"/>
  <c r="I40" i="12" s="1"/>
  <c r="H94" i="12"/>
  <c r="I94" i="12" s="1"/>
  <c r="H83" i="11"/>
  <c r="I83" i="11" s="1"/>
  <c r="G83" i="11"/>
  <c r="H70" i="12"/>
  <c r="I70" i="12" s="1"/>
  <c r="H76" i="11"/>
  <c r="I76" i="11" s="1"/>
  <c r="G76" i="11"/>
  <c r="H56" i="12"/>
  <c r="I56" i="12" s="1"/>
  <c r="H54" i="12"/>
  <c r="I54" i="12" s="1"/>
  <c r="H82" i="12"/>
  <c r="I82" i="12" s="1"/>
  <c r="H72" i="11"/>
  <c r="I72" i="11" s="1"/>
  <c r="G72" i="11"/>
  <c r="H80" i="11"/>
  <c r="I80" i="11" s="1"/>
  <c r="G80" i="11"/>
  <c r="H91" i="11"/>
  <c r="I91" i="11" s="1"/>
  <c r="G91" i="11"/>
  <c r="H19" i="11"/>
  <c r="I19" i="11" s="1"/>
  <c r="G19" i="11"/>
  <c r="H20" i="11"/>
  <c r="I20" i="11" s="1"/>
  <c r="G20" i="11"/>
  <c r="H27" i="11"/>
  <c r="I27" i="11" s="1"/>
  <c r="G27" i="11"/>
  <c r="H64" i="11"/>
  <c r="I64" i="11" s="1"/>
  <c r="G64" i="11"/>
  <c r="H71" i="11"/>
  <c r="I71" i="11" s="1"/>
  <c r="G71" i="11"/>
  <c r="H75" i="11"/>
  <c r="I75" i="11" s="1"/>
  <c r="G75" i="11"/>
  <c r="H18" i="12"/>
  <c r="I18" i="12" s="1"/>
  <c r="H29" i="12"/>
  <c r="I29" i="12" s="1"/>
  <c r="H39" i="12"/>
  <c r="I39" i="12" s="1"/>
  <c r="H71" i="12"/>
  <c r="I71" i="12" s="1"/>
  <c r="H50" i="12"/>
  <c r="I50" i="12" s="1"/>
  <c r="H28" i="11"/>
  <c r="I28" i="11" s="1"/>
  <c r="G28" i="11"/>
  <c r="H69" i="12"/>
  <c r="I69" i="12" s="1"/>
  <c r="H90" i="12"/>
  <c r="I90" i="12" s="1"/>
  <c r="H43" i="12"/>
  <c r="I43" i="12" s="1"/>
  <c r="H75" i="12"/>
  <c r="I75" i="12" s="1"/>
  <c r="H62" i="11"/>
  <c r="I62" i="11" s="1"/>
  <c r="G62" i="11"/>
  <c r="H79" i="11"/>
  <c r="I79" i="11" s="1"/>
  <c r="G79" i="11"/>
  <c r="H26" i="12"/>
  <c r="I26" i="12" s="1"/>
  <c r="H72" i="12"/>
  <c r="I72" i="12" s="1"/>
  <c r="H44" i="11"/>
  <c r="I44" i="11" s="1"/>
  <c r="G44" i="11"/>
  <c r="H48" i="11"/>
  <c r="I48" i="11" s="1"/>
  <c r="G48" i="11"/>
  <c r="H59" i="11"/>
  <c r="I59" i="11" s="1"/>
  <c r="G59" i="11"/>
  <c r="H88" i="11"/>
  <c r="I88" i="11" s="1"/>
  <c r="G88" i="11"/>
  <c r="H92" i="11"/>
  <c r="I92" i="11" s="1"/>
  <c r="G92" i="11"/>
  <c r="H45" i="12"/>
  <c r="I45" i="12" s="1"/>
  <c r="H46" i="11"/>
  <c r="I46" i="11" s="1"/>
  <c r="G46" i="11"/>
  <c r="H37" i="12"/>
  <c r="I37" i="12" s="1"/>
  <c r="H58" i="12"/>
  <c r="I58" i="12" s="1"/>
  <c r="H79" i="12"/>
  <c r="I79" i="12" s="1"/>
  <c r="H36" i="11"/>
  <c r="I36" i="11" s="1"/>
  <c r="G36" i="11"/>
  <c r="H54" i="11"/>
  <c r="I54" i="11" s="1"/>
  <c r="G54" i="11"/>
  <c r="H87" i="11"/>
  <c r="I87" i="11" s="1"/>
  <c r="G87" i="11"/>
  <c r="H30" i="11"/>
  <c r="I30" i="11" s="1"/>
  <c r="G30" i="11"/>
  <c r="H21" i="12"/>
  <c r="I21" i="12" s="1"/>
  <c r="H24" i="12"/>
  <c r="I24" i="12" s="1"/>
  <c r="H42" i="12"/>
  <c r="I42" i="12" s="1"/>
  <c r="H66" i="12"/>
  <c r="H74" i="12"/>
  <c r="I74" i="12" s="1"/>
  <c r="H77" i="12"/>
  <c r="I77" i="12" s="1"/>
  <c r="H16" i="11"/>
  <c r="I16" i="11" s="1"/>
  <c r="G16" i="11"/>
  <c r="H35" i="11"/>
  <c r="I35" i="11" s="1"/>
  <c r="G35" i="11"/>
  <c r="H60" i="11"/>
  <c r="I60" i="11" s="1"/>
  <c r="G60" i="11"/>
  <c r="H61" i="12"/>
  <c r="I61" i="12" s="1"/>
  <c r="H22" i="12"/>
  <c r="I22" i="12" s="1"/>
  <c r="H95" i="11"/>
  <c r="I95" i="11" s="1"/>
  <c r="G95" i="11"/>
  <c r="H22" i="11"/>
  <c r="I22" i="11" s="1"/>
  <c r="G22" i="11"/>
  <c r="H38" i="11"/>
  <c r="I38" i="11" s="1"/>
  <c r="G38" i="11"/>
  <c r="H56" i="11"/>
  <c r="I56" i="11" s="1"/>
  <c r="G56" i="11"/>
  <c r="H53" i="12"/>
  <c r="I53" i="12" s="1"/>
  <c r="H85" i="12"/>
  <c r="I85" i="12" s="1"/>
  <c r="H20" i="12"/>
  <c r="H27" i="12"/>
  <c r="I27" i="12" s="1"/>
  <c r="H31" i="12"/>
  <c r="H68" i="12"/>
  <c r="H17" i="12"/>
  <c r="I17" i="12" s="1"/>
  <c r="H28" i="12"/>
  <c r="H36" i="12"/>
  <c r="H63" i="12"/>
  <c r="I63" i="12" s="1"/>
  <c r="H43" i="11"/>
  <c r="I43" i="11" s="1"/>
  <c r="J43" i="11" s="1"/>
  <c r="H34" i="12"/>
  <c r="H52" i="12"/>
  <c r="H60" i="12"/>
  <c r="H81" i="12"/>
  <c r="H84" i="12"/>
  <c r="I84" i="12" s="1"/>
  <c r="H92" i="12"/>
  <c r="I92" i="12" s="1"/>
  <c r="H49" i="12"/>
  <c r="I49" i="12" s="1"/>
  <c r="H93" i="12"/>
  <c r="I93" i="12" s="1"/>
  <c r="H16" i="12"/>
  <c r="H32" i="12"/>
  <c r="H73" i="12"/>
  <c r="H19" i="12"/>
  <c r="H30" i="12"/>
  <c r="H35" i="12"/>
  <c r="H25" i="12"/>
  <c r="H48" i="12"/>
  <c r="H51" i="12"/>
  <c r="H46" i="12"/>
  <c r="H64" i="12"/>
  <c r="H62" i="12"/>
  <c r="H67" i="12"/>
  <c r="H41" i="12"/>
  <c r="H57" i="12"/>
  <c r="H80" i="12"/>
  <c r="H78" i="12"/>
  <c r="H83" i="12"/>
  <c r="H44" i="12"/>
  <c r="H65" i="12"/>
  <c r="I65" i="12" s="1"/>
  <c r="H23" i="12"/>
  <c r="I23" i="12" s="1"/>
  <c r="H55" i="12"/>
  <c r="H95" i="12"/>
  <c r="F96" i="12"/>
  <c r="H87" i="12"/>
  <c r="H89" i="12"/>
  <c r="I89" i="12" s="1"/>
  <c r="H88" i="12"/>
  <c r="H91" i="12"/>
  <c r="H33" i="12"/>
  <c r="H76" i="12"/>
  <c r="H53" i="11"/>
  <c r="I53" i="11" s="1"/>
  <c r="J53" i="11" s="1"/>
  <c r="H29" i="11"/>
  <c r="I29" i="11" s="1"/>
  <c r="J29" i="11" s="1"/>
  <c r="H21" i="11"/>
  <c r="I21" i="11" s="1"/>
  <c r="J21" i="11" s="1"/>
  <c r="H61" i="11"/>
  <c r="I61" i="11" s="1"/>
  <c r="J61" i="11" s="1"/>
  <c r="H39" i="11"/>
  <c r="I39" i="11" s="1"/>
  <c r="J39" i="11" s="1"/>
  <c r="H66" i="11"/>
  <c r="I66" i="11" s="1"/>
  <c r="J66" i="11" s="1"/>
  <c r="H90" i="11"/>
  <c r="I90" i="11" s="1"/>
  <c r="J90" i="11" s="1"/>
  <c r="H26" i="11"/>
  <c r="I26" i="11" s="1"/>
  <c r="J26" i="11" s="1"/>
  <c r="H33" i="11"/>
  <c r="I33" i="11" s="1"/>
  <c r="J33" i="11" s="1"/>
  <c r="H63" i="11"/>
  <c r="I63" i="11" s="1"/>
  <c r="J63" i="11" s="1"/>
  <c r="H78" i="11"/>
  <c r="I78" i="11" s="1"/>
  <c r="J78" i="11" s="1"/>
  <c r="H81" i="11"/>
  <c r="I81" i="11" s="1"/>
  <c r="J81" i="11" s="1"/>
  <c r="H93" i="11"/>
  <c r="I93" i="11" s="1"/>
  <c r="J93" i="11" s="1"/>
  <c r="H23" i="11"/>
  <c r="I23" i="11" s="1"/>
  <c r="J23" i="11" s="1"/>
  <c r="H37" i="11"/>
  <c r="I37" i="11" s="1"/>
  <c r="J37" i="11" s="1"/>
  <c r="H50" i="11"/>
  <c r="I50" i="11" s="1"/>
  <c r="J50" i="11" s="1"/>
  <c r="H57" i="11"/>
  <c r="I57" i="11" s="1"/>
  <c r="J57" i="11" s="1"/>
  <c r="H69" i="11"/>
  <c r="I69" i="11" s="1"/>
  <c r="J69" i="11" s="1"/>
  <c r="H47" i="11"/>
  <c r="I47" i="11" s="1"/>
  <c r="J47" i="11" s="1"/>
  <c r="H82" i="11"/>
  <c r="I82" i="11" s="1"/>
  <c r="J82" i="11" s="1"/>
  <c r="H41" i="11"/>
  <c r="I41" i="11" s="1"/>
  <c r="J41" i="11" s="1"/>
  <c r="H73" i="11"/>
  <c r="I73" i="11" s="1"/>
  <c r="J73" i="11" s="1"/>
  <c r="H85" i="11"/>
  <c r="I85" i="11" s="1"/>
  <c r="J85" i="11" s="1"/>
  <c r="H45" i="11"/>
  <c r="I45" i="11" s="1"/>
  <c r="J45" i="11" s="1"/>
  <c r="H58" i="11"/>
  <c r="I58" i="11" s="1"/>
  <c r="J58" i="11" s="1"/>
  <c r="H65" i="11"/>
  <c r="I65" i="11" s="1"/>
  <c r="J65" i="11" s="1"/>
  <c r="F96" i="11"/>
  <c r="H15" i="11"/>
  <c r="I15" i="11" s="1"/>
  <c r="J15" i="11" s="1"/>
  <c r="H49" i="11"/>
  <c r="I49" i="11" s="1"/>
  <c r="J49" i="11" s="1"/>
  <c r="H77" i="11"/>
  <c r="I77" i="11" s="1"/>
  <c r="J77" i="11" s="1"/>
  <c r="H17" i="11"/>
  <c r="I17" i="11" s="1"/>
  <c r="J17" i="11" s="1"/>
  <c r="H94" i="11"/>
  <c r="I94" i="11" s="1"/>
  <c r="J94" i="11" s="1"/>
  <c r="H34" i="11"/>
  <c r="I34" i="11" s="1"/>
  <c r="J34" i="11" s="1"/>
  <c r="H70" i="11"/>
  <c r="I70" i="11" s="1"/>
  <c r="J70" i="11" s="1"/>
  <c r="H31" i="11"/>
  <c r="I31" i="11" s="1"/>
  <c r="J31" i="11" s="1"/>
  <c r="H18" i="11"/>
  <c r="I18" i="11" s="1"/>
  <c r="J18" i="11" s="1"/>
  <c r="H25" i="11"/>
  <c r="I25" i="11" s="1"/>
  <c r="J25" i="11" s="1"/>
  <c r="H55" i="11"/>
  <c r="I55" i="11" s="1"/>
  <c r="J55" i="11" s="1"/>
  <c r="H74" i="11"/>
  <c r="I74" i="11" s="1"/>
  <c r="J74" i="11" s="1"/>
  <c r="H86" i="11"/>
  <c r="I86" i="11" s="1"/>
  <c r="J86" i="11" s="1"/>
  <c r="H89" i="11"/>
  <c r="I89" i="11" s="1"/>
  <c r="J89" i="11" s="1"/>
  <c r="H42" i="11"/>
  <c r="I42" i="11" s="1"/>
  <c r="J42" i="11" s="1"/>
  <c r="D96" i="10"/>
  <c r="D95" i="10"/>
  <c r="F95" i="10" s="1"/>
  <c r="G95" i="10" s="1"/>
  <c r="D94" i="10"/>
  <c r="F94" i="10" s="1"/>
  <c r="G94" i="10" s="1"/>
  <c r="D93" i="10"/>
  <c r="F93" i="10" s="1"/>
  <c r="G93" i="10" s="1"/>
  <c r="D92" i="10"/>
  <c r="F92" i="10" s="1"/>
  <c r="G92" i="10" s="1"/>
  <c r="D91" i="10"/>
  <c r="F91" i="10" s="1"/>
  <c r="G91" i="10" s="1"/>
  <c r="D90" i="10"/>
  <c r="F90" i="10" s="1"/>
  <c r="G90" i="10" s="1"/>
  <c r="D89" i="10"/>
  <c r="F89" i="10" s="1"/>
  <c r="G89" i="10" s="1"/>
  <c r="D88" i="10"/>
  <c r="F88" i="10" s="1"/>
  <c r="G88" i="10" s="1"/>
  <c r="D87" i="10"/>
  <c r="F87" i="10" s="1"/>
  <c r="G87" i="10" s="1"/>
  <c r="D86" i="10"/>
  <c r="F86" i="10" s="1"/>
  <c r="G86" i="10" s="1"/>
  <c r="D85" i="10"/>
  <c r="F85" i="10" s="1"/>
  <c r="G85" i="10" s="1"/>
  <c r="D84" i="10"/>
  <c r="F84" i="10" s="1"/>
  <c r="G84" i="10" s="1"/>
  <c r="D83" i="10"/>
  <c r="F83" i="10" s="1"/>
  <c r="G83" i="10" s="1"/>
  <c r="D82" i="10"/>
  <c r="F82" i="10" s="1"/>
  <c r="G82" i="10" s="1"/>
  <c r="D81" i="10"/>
  <c r="F81" i="10" s="1"/>
  <c r="G81" i="10" s="1"/>
  <c r="D80" i="10"/>
  <c r="F80" i="10" s="1"/>
  <c r="G80" i="10" s="1"/>
  <c r="D79" i="10"/>
  <c r="F79" i="10" s="1"/>
  <c r="G79" i="10" s="1"/>
  <c r="D78" i="10"/>
  <c r="F78" i="10" s="1"/>
  <c r="G78" i="10" s="1"/>
  <c r="D77" i="10"/>
  <c r="F77" i="10" s="1"/>
  <c r="G77" i="10" s="1"/>
  <c r="D76" i="10"/>
  <c r="F76" i="10" s="1"/>
  <c r="G76" i="10" s="1"/>
  <c r="D75" i="10"/>
  <c r="F75" i="10" s="1"/>
  <c r="G75" i="10" s="1"/>
  <c r="D74" i="10"/>
  <c r="F74" i="10" s="1"/>
  <c r="G74" i="10" s="1"/>
  <c r="D73" i="10"/>
  <c r="F73" i="10" s="1"/>
  <c r="G73" i="10" s="1"/>
  <c r="D72" i="10"/>
  <c r="F72" i="10" s="1"/>
  <c r="G72" i="10" s="1"/>
  <c r="D71" i="10"/>
  <c r="F71" i="10" s="1"/>
  <c r="G71" i="10" s="1"/>
  <c r="D70" i="10"/>
  <c r="F70" i="10" s="1"/>
  <c r="G70" i="10" s="1"/>
  <c r="D69" i="10"/>
  <c r="F69" i="10" s="1"/>
  <c r="G69" i="10" s="1"/>
  <c r="D68" i="10"/>
  <c r="F68" i="10" s="1"/>
  <c r="G68" i="10" s="1"/>
  <c r="D67" i="10"/>
  <c r="F67" i="10" s="1"/>
  <c r="G67" i="10" s="1"/>
  <c r="D66" i="10"/>
  <c r="F66" i="10" s="1"/>
  <c r="G66" i="10" s="1"/>
  <c r="D65" i="10"/>
  <c r="F65" i="10" s="1"/>
  <c r="G65" i="10" s="1"/>
  <c r="D64" i="10"/>
  <c r="F64" i="10" s="1"/>
  <c r="G64" i="10" s="1"/>
  <c r="D63" i="10"/>
  <c r="F63" i="10" s="1"/>
  <c r="G63" i="10" s="1"/>
  <c r="D62" i="10"/>
  <c r="F62" i="10" s="1"/>
  <c r="G62" i="10" s="1"/>
  <c r="D61" i="10"/>
  <c r="F61" i="10" s="1"/>
  <c r="G61" i="10" s="1"/>
  <c r="D60" i="10"/>
  <c r="F60" i="10" s="1"/>
  <c r="G60" i="10" s="1"/>
  <c r="D59" i="10"/>
  <c r="F59" i="10" s="1"/>
  <c r="G59" i="10" s="1"/>
  <c r="D58" i="10"/>
  <c r="F58" i="10" s="1"/>
  <c r="G58" i="10" s="1"/>
  <c r="D57" i="10"/>
  <c r="F57" i="10" s="1"/>
  <c r="G57" i="10" s="1"/>
  <c r="D56" i="10"/>
  <c r="F56" i="10" s="1"/>
  <c r="G56" i="10" s="1"/>
  <c r="D55" i="10"/>
  <c r="F55" i="10" s="1"/>
  <c r="G55" i="10" s="1"/>
  <c r="D54" i="10"/>
  <c r="F54" i="10" s="1"/>
  <c r="G54" i="10" s="1"/>
  <c r="D53" i="10"/>
  <c r="F53" i="10" s="1"/>
  <c r="G53" i="10" s="1"/>
  <c r="D52" i="10"/>
  <c r="F52" i="10" s="1"/>
  <c r="G52" i="10" s="1"/>
  <c r="D51" i="10"/>
  <c r="F51" i="10" s="1"/>
  <c r="G51" i="10" s="1"/>
  <c r="D50" i="10"/>
  <c r="F50" i="10" s="1"/>
  <c r="G50" i="10" s="1"/>
  <c r="D49" i="10"/>
  <c r="F49" i="10" s="1"/>
  <c r="G49" i="10" s="1"/>
  <c r="D48" i="10"/>
  <c r="F48" i="10" s="1"/>
  <c r="G48" i="10" s="1"/>
  <c r="D47" i="10"/>
  <c r="F47" i="10" s="1"/>
  <c r="G47" i="10" s="1"/>
  <c r="D46" i="10"/>
  <c r="F46" i="10" s="1"/>
  <c r="G46" i="10" s="1"/>
  <c r="D45" i="10"/>
  <c r="F45" i="10" s="1"/>
  <c r="G45" i="10" s="1"/>
  <c r="D44" i="10"/>
  <c r="F44" i="10" s="1"/>
  <c r="G44" i="10" s="1"/>
  <c r="D43" i="10"/>
  <c r="F43" i="10" s="1"/>
  <c r="G43" i="10" s="1"/>
  <c r="D42" i="10"/>
  <c r="F42" i="10" s="1"/>
  <c r="G42" i="10" s="1"/>
  <c r="D41" i="10"/>
  <c r="F41" i="10" s="1"/>
  <c r="G41" i="10" s="1"/>
  <c r="D40" i="10"/>
  <c r="F40" i="10" s="1"/>
  <c r="G40" i="10" s="1"/>
  <c r="D39" i="10"/>
  <c r="F39" i="10" s="1"/>
  <c r="G39" i="10" s="1"/>
  <c r="D38" i="10"/>
  <c r="F38" i="10" s="1"/>
  <c r="G38" i="10" s="1"/>
  <c r="D37" i="10"/>
  <c r="F37" i="10" s="1"/>
  <c r="G37" i="10" s="1"/>
  <c r="D36" i="10"/>
  <c r="F36" i="10" s="1"/>
  <c r="G36" i="10" s="1"/>
  <c r="D35" i="10"/>
  <c r="F35" i="10" s="1"/>
  <c r="G35" i="10" s="1"/>
  <c r="D34" i="10"/>
  <c r="F34" i="10" s="1"/>
  <c r="G34" i="10" s="1"/>
  <c r="D33" i="10"/>
  <c r="F33" i="10" s="1"/>
  <c r="G33" i="10" s="1"/>
  <c r="D32" i="10"/>
  <c r="F32" i="10" s="1"/>
  <c r="G32" i="10" s="1"/>
  <c r="D31" i="10"/>
  <c r="F31" i="10" s="1"/>
  <c r="G31" i="10" s="1"/>
  <c r="D30" i="10"/>
  <c r="F30" i="10" s="1"/>
  <c r="G30" i="10" s="1"/>
  <c r="D29" i="10"/>
  <c r="F29" i="10" s="1"/>
  <c r="G29" i="10" s="1"/>
  <c r="D28" i="10"/>
  <c r="F28" i="10" s="1"/>
  <c r="G28" i="10" s="1"/>
  <c r="D27" i="10"/>
  <c r="F27" i="10" s="1"/>
  <c r="G27" i="10" s="1"/>
  <c r="D26" i="10"/>
  <c r="F26" i="10" s="1"/>
  <c r="G26" i="10" s="1"/>
  <c r="D25" i="10"/>
  <c r="F25" i="10" s="1"/>
  <c r="G25" i="10" s="1"/>
  <c r="D24" i="10"/>
  <c r="F24" i="10" s="1"/>
  <c r="G24" i="10" s="1"/>
  <c r="D23" i="10"/>
  <c r="F23" i="10" s="1"/>
  <c r="G23" i="10" s="1"/>
  <c r="D22" i="10"/>
  <c r="F22" i="10" s="1"/>
  <c r="G22" i="10" s="1"/>
  <c r="D21" i="10"/>
  <c r="F21" i="10" s="1"/>
  <c r="G21" i="10" s="1"/>
  <c r="D20" i="10"/>
  <c r="F20" i="10" s="1"/>
  <c r="G20" i="10" s="1"/>
  <c r="D19" i="10"/>
  <c r="F19" i="10" s="1"/>
  <c r="G19" i="10" s="1"/>
  <c r="D18" i="10"/>
  <c r="F18" i="10" s="1"/>
  <c r="G18" i="10" s="1"/>
  <c r="D17" i="10"/>
  <c r="F17" i="10" s="1"/>
  <c r="G17" i="10" s="1"/>
  <c r="D16" i="10"/>
  <c r="F16" i="10" s="1"/>
  <c r="G16" i="10" s="1"/>
  <c r="D15" i="10"/>
  <c r="F15" i="10" s="1"/>
  <c r="E6" i="9"/>
  <c r="E7" i="9" s="1"/>
  <c r="G15" i="10" l="1"/>
  <c r="H15" i="10"/>
  <c r="I15" i="10" s="1"/>
  <c r="I62" i="12"/>
  <c r="J62" i="12" s="1"/>
  <c r="I88" i="12"/>
  <c r="J88" i="12" s="1"/>
  <c r="I44" i="12"/>
  <c r="J44" i="12" s="1"/>
  <c r="I64" i="12"/>
  <c r="J64" i="12" s="1"/>
  <c r="I73" i="12"/>
  <c r="J73" i="12" s="1"/>
  <c r="I60" i="12"/>
  <c r="J60" i="12" s="1"/>
  <c r="I68" i="12"/>
  <c r="J68" i="12" s="1"/>
  <c r="I66" i="12"/>
  <c r="J66" i="12" s="1"/>
  <c r="I83" i="12"/>
  <c r="J83" i="12" s="1"/>
  <c r="I46" i="12"/>
  <c r="J46" i="12" s="1"/>
  <c r="I32" i="12"/>
  <c r="J32" i="12" s="1"/>
  <c r="I52" i="12"/>
  <c r="J52" i="12" s="1"/>
  <c r="I31" i="12"/>
  <c r="J31" i="12" s="1"/>
  <c r="I16" i="12"/>
  <c r="J16" i="12" s="1"/>
  <c r="I34" i="12"/>
  <c r="J34" i="12" s="1"/>
  <c r="I51" i="12"/>
  <c r="J51" i="12" s="1"/>
  <c r="I80" i="12"/>
  <c r="J80" i="12" s="1"/>
  <c r="I48" i="12"/>
  <c r="J48" i="12" s="1"/>
  <c r="I20" i="12"/>
  <c r="J20" i="12" s="1"/>
  <c r="I19" i="12"/>
  <c r="J19" i="12" s="1"/>
  <c r="I78" i="12"/>
  <c r="J78" i="12" s="1"/>
  <c r="I95" i="12"/>
  <c r="J95" i="12" s="1"/>
  <c r="I57" i="12"/>
  <c r="J57" i="12" s="1"/>
  <c r="I25" i="12"/>
  <c r="J25" i="12" s="1"/>
  <c r="I81" i="12"/>
  <c r="J81" i="12" s="1"/>
  <c r="I76" i="12"/>
  <c r="J76" i="12" s="1"/>
  <c r="I55" i="12"/>
  <c r="J55" i="12" s="1"/>
  <c r="I41" i="12"/>
  <c r="J41" i="12" s="1"/>
  <c r="I35" i="12"/>
  <c r="J35" i="12" s="1"/>
  <c r="I36" i="12"/>
  <c r="J36" i="12" s="1"/>
  <c r="I91" i="12"/>
  <c r="J91" i="12" s="1"/>
  <c r="I87" i="12"/>
  <c r="J87" i="12" s="1"/>
  <c r="I33" i="12"/>
  <c r="J33" i="12" s="1"/>
  <c r="I67" i="12"/>
  <c r="J67" i="12" s="1"/>
  <c r="I30" i="12"/>
  <c r="J30" i="12" s="1"/>
  <c r="I28" i="12"/>
  <c r="J28" i="12" s="1"/>
  <c r="J85" i="12"/>
  <c r="J37" i="12"/>
  <c r="J72" i="12"/>
  <c r="J61" i="12"/>
  <c r="J77" i="12"/>
  <c r="J40" i="12"/>
  <c r="J42" i="12"/>
  <c r="J58" i="12"/>
  <c r="J56" i="11"/>
  <c r="J48" i="11"/>
  <c r="J72" i="11"/>
  <c r="J95" i="11"/>
  <c r="J35" i="11"/>
  <c r="J40" i="11"/>
  <c r="J87" i="11"/>
  <c r="J71" i="11"/>
  <c r="J84" i="11"/>
  <c r="J51" i="11"/>
  <c r="J88" i="11"/>
  <c r="J82" i="12"/>
  <c r="J75" i="12"/>
  <c r="J69" i="12"/>
  <c r="J18" i="12"/>
  <c r="J86" i="12"/>
  <c r="J22" i="12"/>
  <c r="J43" i="12"/>
  <c r="J71" i="12"/>
  <c r="J56" i="12"/>
  <c r="J74" i="12"/>
  <c r="J70" i="12"/>
  <c r="J38" i="12"/>
  <c r="J53" i="12"/>
  <c r="J22" i="11"/>
  <c r="J60" i="11"/>
  <c r="J59" i="11"/>
  <c r="J75" i="11"/>
  <c r="J83" i="11"/>
  <c r="J68" i="11"/>
  <c r="J24" i="11"/>
  <c r="J16" i="11"/>
  <c r="J92" i="11"/>
  <c r="J64" i="11"/>
  <c r="J91" i="11"/>
  <c r="J80" i="11"/>
  <c r="J27" i="12"/>
  <c r="J23" i="12"/>
  <c r="J38" i="11"/>
  <c r="J21" i="12"/>
  <c r="J79" i="12"/>
  <c r="J46" i="11"/>
  <c r="J79" i="11"/>
  <c r="J29" i="12"/>
  <c r="J19" i="11"/>
  <c r="J52" i="11"/>
  <c r="J67" i="11"/>
  <c r="J63" i="12"/>
  <c r="J93" i="12"/>
  <c r="J47" i="12"/>
  <c r="J49" i="12"/>
  <c r="J54" i="11"/>
  <c r="J44" i="11"/>
  <c r="J26" i="12"/>
  <c r="J90" i="12"/>
  <c r="J28" i="11"/>
  <c r="J27" i="11"/>
  <c r="J32" i="11"/>
  <c r="J65" i="12"/>
  <c r="J92" i="12"/>
  <c r="J17" i="12"/>
  <c r="J24" i="12"/>
  <c r="J30" i="11"/>
  <c r="J36" i="11"/>
  <c r="J45" i="12"/>
  <c r="J62" i="11"/>
  <c r="J50" i="12"/>
  <c r="J39" i="12"/>
  <c r="J20" i="11"/>
  <c r="J89" i="12"/>
  <c r="J84" i="12"/>
  <c r="J54" i="12"/>
  <c r="J76" i="11"/>
  <c r="J94" i="12"/>
  <c r="J59" i="12"/>
  <c r="H83" i="10"/>
  <c r="I83" i="10" s="1"/>
  <c r="H84" i="10"/>
  <c r="H20" i="10"/>
  <c r="I20" i="10" s="1"/>
  <c r="H48" i="10"/>
  <c r="I48" i="10" s="1"/>
  <c r="H88" i="10"/>
  <c r="I88" i="10" s="1"/>
  <c r="H29" i="10"/>
  <c r="I29" i="10" s="1"/>
  <c r="H17" i="10"/>
  <c r="I17" i="10" s="1"/>
  <c r="H21" i="10"/>
  <c r="I21" i="10" s="1"/>
  <c r="H33" i="10"/>
  <c r="I33" i="10" s="1"/>
  <c r="H41" i="10"/>
  <c r="I41" i="10" s="1"/>
  <c r="H57" i="10"/>
  <c r="I57" i="10" s="1"/>
  <c r="H61" i="10"/>
  <c r="I61" i="10" s="1"/>
  <c r="H74" i="10"/>
  <c r="I74" i="10" s="1"/>
  <c r="H37" i="10"/>
  <c r="I37" i="10" s="1"/>
  <c r="H45" i="10"/>
  <c r="I45" i="10" s="1"/>
  <c r="H26" i="10"/>
  <c r="I26" i="10" s="1"/>
  <c r="H91" i="10"/>
  <c r="I91" i="10" s="1"/>
  <c r="H71" i="10"/>
  <c r="I71" i="10" s="1"/>
  <c r="G96" i="12"/>
  <c r="H96" i="12"/>
  <c r="G96" i="11"/>
  <c r="H96" i="11"/>
  <c r="I96" i="11"/>
  <c r="H55" i="10"/>
  <c r="I55" i="10" s="1"/>
  <c r="H72" i="10"/>
  <c r="I72" i="10" s="1"/>
  <c r="H50" i="10"/>
  <c r="I50" i="10" s="1"/>
  <c r="H23" i="10"/>
  <c r="I23" i="10" s="1"/>
  <c r="H53" i="10"/>
  <c r="I53" i="10" s="1"/>
  <c r="H92" i="10"/>
  <c r="I92" i="10" s="1"/>
  <c r="H27" i="10"/>
  <c r="I27" i="10" s="1"/>
  <c r="F96" i="10"/>
  <c r="H95" i="10"/>
  <c r="I95" i="10" s="1"/>
  <c r="H25" i="10"/>
  <c r="I25" i="10" s="1"/>
  <c r="H30" i="10"/>
  <c r="I30" i="10" s="1"/>
  <c r="H78" i="10"/>
  <c r="I78" i="10" s="1"/>
  <c r="H18" i="10"/>
  <c r="I18" i="10" s="1"/>
  <c r="H38" i="10"/>
  <c r="I38" i="10" s="1"/>
  <c r="H52" i="10"/>
  <c r="I52" i="10" s="1"/>
  <c r="H43" i="10"/>
  <c r="I43" i="10" s="1"/>
  <c r="H59" i="10"/>
  <c r="I59" i="10" s="1"/>
  <c r="H64" i="10"/>
  <c r="I64" i="10" s="1"/>
  <c r="H79" i="10"/>
  <c r="I79" i="10" s="1"/>
  <c r="H67" i="10"/>
  <c r="I67" i="10" s="1"/>
  <c r="H34" i="10"/>
  <c r="I34" i="10" s="1"/>
  <c r="H70" i="10"/>
  <c r="I70" i="10" s="1"/>
  <c r="H87" i="10"/>
  <c r="I87" i="10" s="1"/>
  <c r="H19" i="10"/>
  <c r="I19" i="10" s="1"/>
  <c r="H22" i="10"/>
  <c r="I22" i="10" s="1"/>
  <c r="H73" i="10"/>
  <c r="I73" i="10" s="1"/>
  <c r="H77" i="10"/>
  <c r="I77" i="10" s="1"/>
  <c r="H35" i="10"/>
  <c r="I35" i="10" s="1"/>
  <c r="H69" i="10"/>
  <c r="I69" i="10" s="1"/>
  <c r="H16" i="10"/>
  <c r="I16" i="10" s="1"/>
  <c r="H49" i="10"/>
  <c r="I49" i="10" s="1"/>
  <c r="H54" i="10"/>
  <c r="I54" i="10" s="1"/>
  <c r="H56" i="10"/>
  <c r="I56" i="10" s="1"/>
  <c r="H76" i="10"/>
  <c r="I76" i="10" s="1"/>
  <c r="H80" i="10"/>
  <c r="I80" i="10" s="1"/>
  <c r="H90" i="10"/>
  <c r="I90" i="10" s="1"/>
  <c r="H66" i="10"/>
  <c r="I66" i="10" s="1"/>
  <c r="H85" i="10"/>
  <c r="I85" i="10" s="1"/>
  <c r="H39" i="10"/>
  <c r="I39" i="10" s="1"/>
  <c r="H63" i="10"/>
  <c r="I63" i="10" s="1"/>
  <c r="H82" i="10"/>
  <c r="I82" i="10" s="1"/>
  <c r="H31" i="10"/>
  <c r="I31" i="10" s="1"/>
  <c r="H36" i="10"/>
  <c r="I36" i="10" s="1"/>
  <c r="H44" i="10"/>
  <c r="I44" i="10" s="1"/>
  <c r="H51" i="10"/>
  <c r="I51" i="10" s="1"/>
  <c r="H58" i="10"/>
  <c r="I58" i="10" s="1"/>
  <c r="H60" i="10"/>
  <c r="I60" i="10" s="1"/>
  <c r="H24" i="10"/>
  <c r="I24" i="10" s="1"/>
  <c r="H40" i="10"/>
  <c r="I40" i="10" s="1"/>
  <c r="H65" i="10"/>
  <c r="I65" i="10" s="1"/>
  <c r="H68" i="10"/>
  <c r="I68" i="10" s="1"/>
  <c r="H42" i="10"/>
  <c r="I42" i="10" s="1"/>
  <c r="H86" i="10"/>
  <c r="I86" i="10" s="1"/>
  <c r="H89" i="10"/>
  <c r="I89" i="10" s="1"/>
  <c r="H62" i="10"/>
  <c r="I62" i="10" s="1"/>
  <c r="H28" i="10"/>
  <c r="I28" i="10" s="1"/>
  <c r="H32" i="10"/>
  <c r="I32" i="10" s="1"/>
  <c r="H46" i="10"/>
  <c r="I46" i="10" s="1"/>
  <c r="H47" i="10"/>
  <c r="I47" i="10" s="1"/>
  <c r="H75" i="10"/>
  <c r="I75" i="10" s="1"/>
  <c r="H94" i="10"/>
  <c r="I94" i="10" s="1"/>
  <c r="H93" i="10"/>
  <c r="I93" i="10" s="1"/>
  <c r="H81" i="10"/>
  <c r="I81" i="10" s="1"/>
  <c r="F17" i="9"/>
  <c r="G17" i="9" s="1"/>
  <c r="H17" i="9" s="1"/>
  <c r="F18" i="9"/>
  <c r="G18" i="9" s="1"/>
  <c r="H18" i="9" s="1"/>
  <c r="F19" i="9"/>
  <c r="G19" i="9" s="1"/>
  <c r="H19" i="9" s="1"/>
  <c r="F20" i="9"/>
  <c r="G20" i="9" s="1"/>
  <c r="H20" i="9" s="1"/>
  <c r="F21" i="9"/>
  <c r="G21" i="9" s="1"/>
  <c r="H21" i="9" s="1"/>
  <c r="F22" i="9"/>
  <c r="G22" i="9" s="1"/>
  <c r="H22" i="9" s="1"/>
  <c r="F23" i="9"/>
  <c r="G23" i="9" s="1"/>
  <c r="H23" i="9" s="1"/>
  <c r="F24" i="9"/>
  <c r="G24" i="9" s="1"/>
  <c r="H24" i="9" s="1"/>
  <c r="F25" i="9"/>
  <c r="G25" i="9" s="1"/>
  <c r="H25" i="9" s="1"/>
  <c r="F26" i="9"/>
  <c r="G26" i="9" s="1"/>
  <c r="H26" i="9" s="1"/>
  <c r="F27" i="9"/>
  <c r="G27" i="9" s="1"/>
  <c r="H27" i="9" s="1"/>
  <c r="F28" i="9"/>
  <c r="G28" i="9" s="1"/>
  <c r="H28" i="9" s="1"/>
  <c r="F29" i="9"/>
  <c r="G29" i="9" s="1"/>
  <c r="H29" i="9" s="1"/>
  <c r="F30" i="9"/>
  <c r="G30" i="9" s="1"/>
  <c r="H30" i="9" s="1"/>
  <c r="F31" i="9"/>
  <c r="G31" i="9" s="1"/>
  <c r="H31" i="9" s="1"/>
  <c r="F32" i="9"/>
  <c r="G32" i="9" s="1"/>
  <c r="H32" i="9" s="1"/>
  <c r="F33" i="9"/>
  <c r="G33" i="9" s="1"/>
  <c r="H33" i="9" s="1"/>
  <c r="F34" i="9"/>
  <c r="G34" i="9" s="1"/>
  <c r="H34" i="9" s="1"/>
  <c r="F35" i="9"/>
  <c r="G35" i="9" s="1"/>
  <c r="H35" i="9" s="1"/>
  <c r="F36" i="9"/>
  <c r="G36" i="9" s="1"/>
  <c r="H36" i="9" s="1"/>
  <c r="F37" i="9"/>
  <c r="G37" i="9" s="1"/>
  <c r="H37" i="9" s="1"/>
  <c r="F38" i="9"/>
  <c r="G38" i="9" s="1"/>
  <c r="H38" i="9" s="1"/>
  <c r="F39" i="9"/>
  <c r="G39" i="9" s="1"/>
  <c r="H39" i="9" s="1"/>
  <c r="F40" i="9"/>
  <c r="G40" i="9" s="1"/>
  <c r="H40" i="9" s="1"/>
  <c r="F41" i="9"/>
  <c r="G41" i="9" s="1"/>
  <c r="H41" i="9" s="1"/>
  <c r="F42" i="9"/>
  <c r="G42" i="9" s="1"/>
  <c r="H42" i="9" s="1"/>
  <c r="F43" i="9"/>
  <c r="G43" i="9" s="1"/>
  <c r="H43" i="9" s="1"/>
  <c r="F44" i="9"/>
  <c r="G44" i="9" s="1"/>
  <c r="H44" i="9" s="1"/>
  <c r="F45" i="9"/>
  <c r="G45" i="9" s="1"/>
  <c r="H45" i="9" s="1"/>
  <c r="F46" i="9"/>
  <c r="G46" i="9" s="1"/>
  <c r="H46" i="9" s="1"/>
  <c r="F47" i="9"/>
  <c r="G47" i="9" s="1"/>
  <c r="H47" i="9" s="1"/>
  <c r="F48" i="9"/>
  <c r="G48" i="9" s="1"/>
  <c r="H48" i="9" s="1"/>
  <c r="F49" i="9"/>
  <c r="G49" i="9" s="1"/>
  <c r="H49" i="9" s="1"/>
  <c r="F50" i="9"/>
  <c r="G50" i="9" s="1"/>
  <c r="H50" i="9" s="1"/>
  <c r="F51" i="9"/>
  <c r="G51" i="9" s="1"/>
  <c r="H51" i="9" s="1"/>
  <c r="F52" i="9"/>
  <c r="G52" i="9" s="1"/>
  <c r="H52" i="9" s="1"/>
  <c r="F53" i="9"/>
  <c r="G53" i="9" s="1"/>
  <c r="H53" i="9" s="1"/>
  <c r="F54" i="9"/>
  <c r="G54" i="9" s="1"/>
  <c r="H54" i="9" s="1"/>
  <c r="F55" i="9"/>
  <c r="G55" i="9" s="1"/>
  <c r="H55" i="9" s="1"/>
  <c r="F56" i="9"/>
  <c r="G56" i="9" s="1"/>
  <c r="H56" i="9" s="1"/>
  <c r="F57" i="9"/>
  <c r="G57" i="9" s="1"/>
  <c r="H57" i="9" s="1"/>
  <c r="F58" i="9"/>
  <c r="G58" i="9" s="1"/>
  <c r="H58" i="9" s="1"/>
  <c r="F59" i="9"/>
  <c r="G59" i="9" s="1"/>
  <c r="H59" i="9" s="1"/>
  <c r="F60" i="9"/>
  <c r="G60" i="9" s="1"/>
  <c r="H60" i="9" s="1"/>
  <c r="F61" i="9"/>
  <c r="G61" i="9" s="1"/>
  <c r="H61" i="9" s="1"/>
  <c r="F62" i="9"/>
  <c r="G62" i="9" s="1"/>
  <c r="H62" i="9" s="1"/>
  <c r="F63" i="9"/>
  <c r="G63" i="9" s="1"/>
  <c r="H63" i="9" s="1"/>
  <c r="F64" i="9"/>
  <c r="G64" i="9" s="1"/>
  <c r="H64" i="9" s="1"/>
  <c r="F65" i="9"/>
  <c r="G65" i="9" s="1"/>
  <c r="H65" i="9" s="1"/>
  <c r="F66" i="9"/>
  <c r="G66" i="9" s="1"/>
  <c r="H66" i="9" s="1"/>
  <c r="F67" i="9"/>
  <c r="G67" i="9" s="1"/>
  <c r="H67" i="9" s="1"/>
  <c r="F68" i="9"/>
  <c r="G68" i="9" s="1"/>
  <c r="H68" i="9" s="1"/>
  <c r="F69" i="9"/>
  <c r="G69" i="9" s="1"/>
  <c r="H69" i="9" s="1"/>
  <c r="F70" i="9"/>
  <c r="G70" i="9" s="1"/>
  <c r="H70" i="9" s="1"/>
  <c r="F71" i="9"/>
  <c r="G71" i="9" s="1"/>
  <c r="H71" i="9" s="1"/>
  <c r="F72" i="9"/>
  <c r="G72" i="9" s="1"/>
  <c r="H72" i="9" s="1"/>
  <c r="F73" i="9"/>
  <c r="G73" i="9" s="1"/>
  <c r="H73" i="9" s="1"/>
  <c r="F74" i="9"/>
  <c r="G74" i="9" s="1"/>
  <c r="H74" i="9" s="1"/>
  <c r="F75" i="9"/>
  <c r="G75" i="9" s="1"/>
  <c r="H75" i="9" s="1"/>
  <c r="F76" i="9"/>
  <c r="G76" i="9" s="1"/>
  <c r="H76" i="9" s="1"/>
  <c r="F77" i="9"/>
  <c r="G77" i="9" s="1"/>
  <c r="H77" i="9" s="1"/>
  <c r="F78" i="9"/>
  <c r="G78" i="9" s="1"/>
  <c r="H78" i="9" s="1"/>
  <c r="F79" i="9"/>
  <c r="G79" i="9" s="1"/>
  <c r="H79" i="9" s="1"/>
  <c r="F80" i="9"/>
  <c r="G80" i="9" s="1"/>
  <c r="H80" i="9" s="1"/>
  <c r="F81" i="9"/>
  <c r="G81" i="9" s="1"/>
  <c r="H81" i="9" s="1"/>
  <c r="F82" i="9"/>
  <c r="G82" i="9" s="1"/>
  <c r="H82" i="9" s="1"/>
  <c r="F83" i="9"/>
  <c r="G83" i="9" s="1"/>
  <c r="H83" i="9" s="1"/>
  <c r="F84" i="9"/>
  <c r="G84" i="9" s="1"/>
  <c r="H84" i="9" s="1"/>
  <c r="F85" i="9"/>
  <c r="G85" i="9" s="1"/>
  <c r="H85" i="9" s="1"/>
  <c r="F86" i="9"/>
  <c r="G86" i="9" s="1"/>
  <c r="H86" i="9" s="1"/>
  <c r="F87" i="9"/>
  <c r="G87" i="9" s="1"/>
  <c r="H87" i="9" s="1"/>
  <c r="F88" i="9"/>
  <c r="G88" i="9" s="1"/>
  <c r="H88" i="9" s="1"/>
  <c r="F89" i="9"/>
  <c r="G89" i="9" s="1"/>
  <c r="H89" i="9" s="1"/>
  <c r="F90" i="9"/>
  <c r="G90" i="9" s="1"/>
  <c r="H90" i="9" s="1"/>
  <c r="F91" i="9"/>
  <c r="G91" i="9" s="1"/>
  <c r="H91" i="9" s="1"/>
  <c r="F92" i="9"/>
  <c r="G92" i="9" s="1"/>
  <c r="H92" i="9" s="1"/>
  <c r="F93" i="9"/>
  <c r="G93" i="9" s="1"/>
  <c r="H93" i="9" s="1"/>
  <c r="F94" i="9"/>
  <c r="G94" i="9" s="1"/>
  <c r="H94" i="9" s="1"/>
  <c r="F95" i="9"/>
  <c r="G95" i="9" s="1"/>
  <c r="H95" i="9" s="1"/>
  <c r="F15" i="9"/>
  <c r="G15" i="9" s="1"/>
  <c r="H15" i="9" s="1"/>
  <c r="E96" i="9"/>
  <c r="I84" i="10" l="1"/>
  <c r="J84" i="10" s="1"/>
  <c r="J15" i="10"/>
  <c r="E21" i="26"/>
  <c r="E29" i="26"/>
  <c r="E37" i="26"/>
  <c r="E45" i="26"/>
  <c r="E53" i="26"/>
  <c r="E61" i="26"/>
  <c r="E69" i="26"/>
  <c r="E77" i="26"/>
  <c r="E85" i="26"/>
  <c r="E93" i="26"/>
  <c r="E22" i="26"/>
  <c r="E46" i="26"/>
  <c r="E54" i="26"/>
  <c r="E70" i="26"/>
  <c r="E78" i="26"/>
  <c r="E86" i="26"/>
  <c r="E94" i="26"/>
  <c r="E15" i="26"/>
  <c r="E23" i="26"/>
  <c r="E31" i="26"/>
  <c r="E39" i="26"/>
  <c r="E47" i="26"/>
  <c r="E55" i="26"/>
  <c r="E63" i="26"/>
  <c r="E71" i="26"/>
  <c r="E79" i="26"/>
  <c r="E87" i="26"/>
  <c r="E62" i="26"/>
  <c r="E16" i="26"/>
  <c r="E24" i="26"/>
  <c r="E32" i="26"/>
  <c r="E40" i="26"/>
  <c r="E48" i="26"/>
  <c r="E56" i="26"/>
  <c r="E64" i="26"/>
  <c r="E72" i="26"/>
  <c r="E80" i="26"/>
  <c r="E88" i="26"/>
  <c r="E20" i="26"/>
  <c r="E44" i="26"/>
  <c r="E68" i="26"/>
  <c r="E92" i="26"/>
  <c r="E17" i="26"/>
  <c r="E25" i="26"/>
  <c r="E33" i="26"/>
  <c r="E41" i="26"/>
  <c r="E49" i="26"/>
  <c r="E57" i="26"/>
  <c r="E65" i="26"/>
  <c r="E73" i="26"/>
  <c r="E81" i="26"/>
  <c r="E89" i="26"/>
  <c r="E19" i="26"/>
  <c r="E43" i="26"/>
  <c r="E59" i="26"/>
  <c r="E75" i="26"/>
  <c r="E91" i="26"/>
  <c r="E28" i="26"/>
  <c r="E60" i="26"/>
  <c r="E84" i="26"/>
  <c r="E30" i="26"/>
  <c r="E18" i="26"/>
  <c r="E26" i="26"/>
  <c r="E34" i="26"/>
  <c r="E42" i="26"/>
  <c r="E50" i="26"/>
  <c r="E58" i="26"/>
  <c r="E66" i="26"/>
  <c r="E74" i="26"/>
  <c r="E82" i="26"/>
  <c r="E90" i="26"/>
  <c r="E27" i="26"/>
  <c r="E35" i="26"/>
  <c r="E51" i="26"/>
  <c r="E67" i="26"/>
  <c r="E83" i="26"/>
  <c r="E36" i="26"/>
  <c r="E52" i="26"/>
  <c r="E76" i="26"/>
  <c r="E38" i="26"/>
  <c r="I15" i="9"/>
  <c r="J15" i="9" s="1"/>
  <c r="K15" i="9" s="1"/>
  <c r="I96" i="12"/>
  <c r="J96" i="11"/>
  <c r="J56" i="10"/>
  <c r="J59" i="10"/>
  <c r="J28" i="10"/>
  <c r="J24" i="10"/>
  <c r="J63" i="10"/>
  <c r="J54" i="10"/>
  <c r="J43" i="10"/>
  <c r="J22" i="10"/>
  <c r="J95" i="10"/>
  <c r="J81" i="10"/>
  <c r="J62" i="10"/>
  <c r="J60" i="10"/>
  <c r="J39" i="10"/>
  <c r="J49" i="10"/>
  <c r="J87" i="10"/>
  <c r="J52" i="10"/>
  <c r="J27" i="10"/>
  <c r="J32" i="10"/>
  <c r="J93" i="10"/>
  <c r="J89" i="10"/>
  <c r="J58" i="10"/>
  <c r="J85" i="10"/>
  <c r="J16" i="10"/>
  <c r="J70" i="10"/>
  <c r="J38" i="10"/>
  <c r="J92" i="10"/>
  <c r="J40" i="10"/>
  <c r="J94" i="10"/>
  <c r="J86" i="10"/>
  <c r="J51" i="10"/>
  <c r="J66" i="10"/>
  <c r="J34" i="10"/>
  <c r="J18" i="10"/>
  <c r="J75" i="10"/>
  <c r="J42" i="10"/>
  <c r="J44" i="10"/>
  <c r="J90" i="10"/>
  <c r="J35" i="10"/>
  <c r="J67" i="10"/>
  <c r="J78" i="10"/>
  <c r="J47" i="10"/>
  <c r="J68" i="10"/>
  <c r="J36" i="10"/>
  <c r="J80" i="10"/>
  <c r="J77" i="10"/>
  <c r="J79" i="10"/>
  <c r="J30" i="10"/>
  <c r="J23" i="10"/>
  <c r="J82" i="10"/>
  <c r="J46" i="10"/>
  <c r="J65" i="10"/>
  <c r="J31" i="10"/>
  <c r="J76" i="10"/>
  <c r="J73" i="10"/>
  <c r="J64" i="10"/>
  <c r="J25" i="10"/>
  <c r="J50" i="10"/>
  <c r="J96" i="12"/>
  <c r="J17" i="10"/>
  <c r="J41" i="10"/>
  <c r="J71" i="10"/>
  <c r="J33" i="10"/>
  <c r="J88" i="10"/>
  <c r="J83" i="10"/>
  <c r="J91" i="10"/>
  <c r="J45" i="10"/>
  <c r="J61" i="10"/>
  <c r="J19" i="10"/>
  <c r="J21" i="10"/>
  <c r="J69" i="10"/>
  <c r="J72" i="10"/>
  <c r="J37" i="10"/>
  <c r="J57" i="10"/>
  <c r="J48" i="10"/>
  <c r="J20" i="10"/>
  <c r="J55" i="10"/>
  <c r="J53" i="10"/>
  <c r="J26" i="10"/>
  <c r="J74" i="10"/>
  <c r="J29" i="10"/>
  <c r="I62" i="9"/>
  <c r="J62" i="9" s="1"/>
  <c r="K62" i="9" s="1"/>
  <c r="I85" i="9"/>
  <c r="J85" i="9" s="1"/>
  <c r="K85" i="9" s="1"/>
  <c r="F96" i="9"/>
  <c r="I27" i="9"/>
  <c r="J27" i="9" s="1"/>
  <c r="K27" i="9" s="1"/>
  <c r="G96" i="10"/>
  <c r="H96" i="10"/>
  <c r="I60" i="9"/>
  <c r="J60" i="9" s="1"/>
  <c r="K60" i="9" s="1"/>
  <c r="I76" i="9"/>
  <c r="J76" i="9" s="1"/>
  <c r="K76" i="9" s="1"/>
  <c r="I69" i="9"/>
  <c r="J69" i="9" s="1"/>
  <c r="K69" i="9" s="1"/>
  <c r="I36" i="9"/>
  <c r="J36" i="9" s="1"/>
  <c r="K36" i="9" s="1"/>
  <c r="I38" i="9"/>
  <c r="J38" i="9" s="1"/>
  <c r="K38" i="9" s="1"/>
  <c r="I58" i="9"/>
  <c r="J58" i="9" s="1"/>
  <c r="K58" i="9" s="1"/>
  <c r="I63" i="9"/>
  <c r="J63" i="9" s="1"/>
  <c r="K63" i="9" s="1"/>
  <c r="I53" i="9"/>
  <c r="J53" i="9" s="1"/>
  <c r="K53" i="9" s="1"/>
  <c r="I48" i="9"/>
  <c r="J48" i="9" s="1"/>
  <c r="K48" i="9" s="1"/>
  <c r="I93" i="9"/>
  <c r="J93" i="9" s="1"/>
  <c r="K93" i="9" s="1"/>
  <c r="I81" i="9"/>
  <c r="J81" i="9" s="1"/>
  <c r="K81" i="9" s="1"/>
  <c r="I51" i="9"/>
  <c r="J51" i="9" s="1"/>
  <c r="K51" i="9" s="1"/>
  <c r="I17" i="9"/>
  <c r="J17" i="9" s="1"/>
  <c r="K17" i="9" s="1"/>
  <c r="I79" i="9"/>
  <c r="J79" i="9" s="1"/>
  <c r="K79" i="9" s="1"/>
  <c r="I50" i="9"/>
  <c r="J50" i="9" s="1"/>
  <c r="K50" i="9" s="1"/>
  <c r="I61" i="9"/>
  <c r="J61" i="9" s="1"/>
  <c r="K61" i="9" s="1"/>
  <c r="I39" i="9"/>
  <c r="J39" i="9" s="1"/>
  <c r="K39" i="9" s="1"/>
  <c r="I28" i="9"/>
  <c r="J28" i="9" s="1"/>
  <c r="K28" i="9" s="1"/>
  <c r="I55" i="9"/>
  <c r="J55" i="9" s="1"/>
  <c r="K55" i="9" s="1"/>
  <c r="I44" i="9"/>
  <c r="J44" i="9" s="1"/>
  <c r="K44" i="9" s="1"/>
  <c r="I87" i="9"/>
  <c r="J87" i="9" s="1"/>
  <c r="K87" i="9" s="1"/>
  <c r="I95" i="9"/>
  <c r="J95" i="9" s="1"/>
  <c r="K95" i="9" s="1"/>
  <c r="I43" i="9"/>
  <c r="J43" i="9" s="1"/>
  <c r="K43" i="9" s="1"/>
  <c r="I32" i="9"/>
  <c r="J32" i="9" s="1"/>
  <c r="K32" i="9" s="1"/>
  <c r="I94" i="9"/>
  <c r="J94" i="9" s="1"/>
  <c r="K94" i="9" s="1"/>
  <c r="I82" i="9"/>
  <c r="J82" i="9" s="1"/>
  <c r="K82" i="9" s="1"/>
  <c r="I57" i="9"/>
  <c r="J57" i="9" s="1"/>
  <c r="K57" i="9" s="1"/>
  <c r="I16" i="9"/>
  <c r="J16" i="9" s="1"/>
  <c r="K16" i="9" s="1"/>
  <c r="I89" i="9"/>
  <c r="J89" i="9" s="1"/>
  <c r="K89" i="9" s="1"/>
  <c r="I26" i="9"/>
  <c r="J26" i="9" s="1"/>
  <c r="K26" i="9" s="1"/>
  <c r="I35" i="9"/>
  <c r="J35" i="9" s="1"/>
  <c r="K35" i="9" s="1"/>
  <c r="I47" i="9"/>
  <c r="J47" i="9" s="1"/>
  <c r="K47" i="9" s="1"/>
  <c r="I65" i="9"/>
  <c r="J65" i="9" s="1"/>
  <c r="K65" i="9" s="1"/>
  <c r="I64" i="9"/>
  <c r="J64" i="9" s="1"/>
  <c r="K64" i="9" s="1"/>
  <c r="I54" i="9"/>
  <c r="J54" i="9" s="1"/>
  <c r="K54" i="9" s="1"/>
  <c r="I70" i="9"/>
  <c r="J70" i="9" s="1"/>
  <c r="K70" i="9" s="1"/>
  <c r="I74" i="9"/>
  <c r="J74" i="9" s="1"/>
  <c r="K74" i="9" s="1"/>
  <c r="I34" i="9"/>
  <c r="J34" i="9" s="1"/>
  <c r="K34" i="9" s="1"/>
  <c r="I30" i="9"/>
  <c r="J30" i="9" s="1"/>
  <c r="K30" i="9" s="1"/>
  <c r="I25" i="9"/>
  <c r="J25" i="9" s="1"/>
  <c r="K25" i="9" s="1"/>
  <c r="I91" i="9"/>
  <c r="J91" i="9" s="1"/>
  <c r="K91" i="9" s="1"/>
  <c r="I75" i="9"/>
  <c r="J75" i="9" s="1"/>
  <c r="K75" i="9" s="1"/>
  <c r="I86" i="9"/>
  <c r="J86" i="9" s="1"/>
  <c r="K86" i="9" s="1"/>
  <c r="I66" i="9"/>
  <c r="J66" i="9" s="1"/>
  <c r="K66" i="9" s="1"/>
  <c r="I88" i="9"/>
  <c r="J88" i="9" s="1"/>
  <c r="K88" i="9" s="1"/>
  <c r="I40" i="9"/>
  <c r="J40" i="9" s="1"/>
  <c r="K40" i="9" s="1"/>
  <c r="I90" i="9"/>
  <c r="J90" i="9" s="1"/>
  <c r="K90" i="9" s="1"/>
  <c r="I73" i="9"/>
  <c r="J73" i="9" s="1"/>
  <c r="K73" i="9" s="1"/>
  <c r="I33" i="9"/>
  <c r="J33" i="9" s="1"/>
  <c r="K33" i="9" s="1"/>
  <c r="I29" i="9"/>
  <c r="J29" i="9" s="1"/>
  <c r="K29" i="9" s="1"/>
  <c r="I18" i="9"/>
  <c r="J18" i="9" s="1"/>
  <c r="K18" i="9" s="1"/>
  <c r="I84" i="9"/>
  <c r="J84" i="9" s="1"/>
  <c r="K84" i="9" s="1"/>
  <c r="I22" i="9"/>
  <c r="J22" i="9" s="1"/>
  <c r="K22" i="9" s="1"/>
  <c r="I42" i="9"/>
  <c r="J42" i="9" s="1"/>
  <c r="K42" i="9" s="1"/>
  <c r="I37" i="9"/>
  <c r="J37" i="9" s="1"/>
  <c r="K37" i="9" s="1"/>
  <c r="I83" i="9"/>
  <c r="J83" i="9" s="1"/>
  <c r="K83" i="9" s="1"/>
  <c r="I68" i="9"/>
  <c r="J68" i="9" s="1"/>
  <c r="K68" i="9" s="1"/>
  <c r="I31" i="9"/>
  <c r="J31" i="9" s="1"/>
  <c r="K31" i="9" s="1"/>
  <c r="I59" i="9"/>
  <c r="J59" i="9" s="1"/>
  <c r="K59" i="9" s="1"/>
  <c r="I46" i="9"/>
  <c r="J46" i="9" s="1"/>
  <c r="K46" i="9" s="1"/>
  <c r="I41" i="9"/>
  <c r="J41" i="9" s="1"/>
  <c r="K41" i="9" s="1"/>
  <c r="I49" i="9"/>
  <c r="J49" i="9" s="1"/>
  <c r="K49" i="9" s="1"/>
  <c r="I23" i="9"/>
  <c r="J23" i="9" s="1"/>
  <c r="K23" i="9" s="1"/>
  <c r="I56" i="9"/>
  <c r="J56" i="9" s="1"/>
  <c r="K56" i="9" s="1"/>
  <c r="I78" i="9"/>
  <c r="J78" i="9" s="1"/>
  <c r="K78" i="9" s="1"/>
  <c r="I67" i="9"/>
  <c r="J67" i="9" s="1"/>
  <c r="K67" i="9" s="1"/>
  <c r="I77" i="9"/>
  <c r="J77" i="9" s="1"/>
  <c r="K77" i="9" s="1"/>
  <c r="I21" i="9"/>
  <c r="J21" i="9" s="1"/>
  <c r="K21" i="9" s="1"/>
  <c r="I19" i="9"/>
  <c r="J19" i="9" s="1"/>
  <c r="K19" i="9" s="1"/>
  <c r="I72" i="9"/>
  <c r="J72" i="9" s="1"/>
  <c r="K72" i="9" s="1"/>
  <c r="I92" i="9"/>
  <c r="J92" i="9" s="1"/>
  <c r="K92" i="9" s="1"/>
  <c r="I52" i="9"/>
  <c r="J52" i="9" s="1"/>
  <c r="K52" i="9" s="1"/>
  <c r="I24" i="9"/>
  <c r="J24" i="9" s="1"/>
  <c r="K24" i="9" s="1"/>
  <c r="I71" i="9"/>
  <c r="J71" i="9" s="1"/>
  <c r="K71" i="9" s="1"/>
  <c r="I20" i="9"/>
  <c r="J20" i="9" s="1"/>
  <c r="K20" i="9" s="1"/>
  <c r="I80" i="9"/>
  <c r="J80" i="9" s="1"/>
  <c r="K80" i="9" s="1"/>
  <c r="I45" i="9"/>
  <c r="J45" i="9" s="1"/>
  <c r="K45" i="9" s="1"/>
  <c r="M73" i="9" l="1"/>
  <c r="M53" i="9"/>
  <c r="M92" i="9"/>
  <c r="M23" i="9"/>
  <c r="M37" i="9"/>
  <c r="M90" i="9"/>
  <c r="M30" i="9"/>
  <c r="M35" i="9"/>
  <c r="M43" i="9"/>
  <c r="M50" i="9"/>
  <c r="M63" i="9"/>
  <c r="M25" i="9"/>
  <c r="M42" i="9"/>
  <c r="M40" i="9"/>
  <c r="M34" i="9"/>
  <c r="M26" i="9"/>
  <c r="M95" i="9"/>
  <c r="M79" i="9"/>
  <c r="M58" i="9"/>
  <c r="M49" i="9"/>
  <c r="M19" i="9"/>
  <c r="M41" i="9"/>
  <c r="M22" i="9"/>
  <c r="M88" i="9"/>
  <c r="M74" i="9"/>
  <c r="M89" i="9"/>
  <c r="M87" i="9"/>
  <c r="M17" i="9"/>
  <c r="M38" i="9"/>
  <c r="M27" i="9"/>
  <c r="M32" i="9"/>
  <c r="M45" i="9"/>
  <c r="M80" i="9"/>
  <c r="M21" i="9"/>
  <c r="M46" i="9"/>
  <c r="M84" i="9"/>
  <c r="M70" i="9"/>
  <c r="M16" i="9"/>
  <c r="M44" i="9"/>
  <c r="M51" i="9"/>
  <c r="M36" i="9"/>
  <c r="M83" i="9"/>
  <c r="M61" i="9"/>
  <c r="M77" i="9"/>
  <c r="M86" i="9"/>
  <c r="M57" i="9"/>
  <c r="M55" i="9"/>
  <c r="M81" i="9"/>
  <c r="M69" i="9"/>
  <c r="M56" i="9"/>
  <c r="M59" i="9"/>
  <c r="M54" i="9"/>
  <c r="M31" i="9"/>
  <c r="M29" i="9"/>
  <c r="M75" i="9"/>
  <c r="M64" i="9"/>
  <c r="M82" i="9"/>
  <c r="M28" i="9"/>
  <c r="M93" i="9"/>
  <c r="M52" i="9"/>
  <c r="M47" i="9"/>
  <c r="M20" i="9"/>
  <c r="M18" i="9"/>
  <c r="M24" i="9"/>
  <c r="M78" i="9"/>
  <c r="M68" i="9"/>
  <c r="M33" i="9"/>
  <c r="M91" i="9"/>
  <c r="M94" i="9"/>
  <c r="M39" i="9"/>
  <c r="M48" i="9"/>
  <c r="M60" i="9"/>
  <c r="L15" i="9"/>
  <c r="C6" i="32" s="1"/>
  <c r="E95" i="26"/>
  <c r="L54" i="9"/>
  <c r="L22" i="9"/>
  <c r="L16" i="9"/>
  <c r="L39" i="9"/>
  <c r="L94" i="9"/>
  <c r="L41" i="9"/>
  <c r="L73" i="9"/>
  <c r="L26" i="9"/>
  <c r="L58" i="9"/>
  <c r="L90" i="9"/>
  <c r="L43" i="9"/>
  <c r="L75" i="9"/>
  <c r="L53" i="9"/>
  <c r="L64" i="9"/>
  <c r="L36" i="9"/>
  <c r="C27" i="32" s="1"/>
  <c r="L68" i="9"/>
  <c r="L21" i="9"/>
  <c r="L77" i="9"/>
  <c r="L30" i="9"/>
  <c r="L70" i="9"/>
  <c r="L48" i="9"/>
  <c r="L47" i="9"/>
  <c r="L79" i="9"/>
  <c r="L40" i="9"/>
  <c r="L17" i="9"/>
  <c r="L49" i="9"/>
  <c r="L81" i="9"/>
  <c r="L34" i="9"/>
  <c r="L19" i="9"/>
  <c r="L51" i="9"/>
  <c r="L83" i="9"/>
  <c r="L69" i="9"/>
  <c r="L88" i="9"/>
  <c r="L44" i="9"/>
  <c r="L37" i="9"/>
  <c r="L32" i="9"/>
  <c r="L85" i="9"/>
  <c r="L38" i="9"/>
  <c r="L78" i="9"/>
  <c r="L23" i="9"/>
  <c r="L55" i="9"/>
  <c r="L87" i="9"/>
  <c r="L56" i="9"/>
  <c r="L25" i="9"/>
  <c r="L57" i="9"/>
  <c r="L89" i="9"/>
  <c r="L42" i="9"/>
  <c r="L74" i="9"/>
  <c r="L27" i="9"/>
  <c r="L59" i="9"/>
  <c r="L91" i="9"/>
  <c r="L93" i="9"/>
  <c r="L20" i="9"/>
  <c r="L52" i="9"/>
  <c r="L84" i="9"/>
  <c r="L45" i="9"/>
  <c r="L62" i="9"/>
  <c r="L46" i="9"/>
  <c r="L86" i="9"/>
  <c r="L31" i="9"/>
  <c r="L63" i="9"/>
  <c r="L95" i="9"/>
  <c r="L80" i="9"/>
  <c r="L33" i="9"/>
  <c r="L18" i="9"/>
  <c r="L50" i="9"/>
  <c r="L82" i="9"/>
  <c r="L35" i="9"/>
  <c r="L29" i="9"/>
  <c r="L24" i="9"/>
  <c r="L28" i="9"/>
  <c r="L60" i="9"/>
  <c r="L92" i="9"/>
  <c r="L61" i="9"/>
  <c r="I96" i="10"/>
  <c r="J96" i="10"/>
  <c r="I96" i="9"/>
  <c r="G96" i="9"/>
  <c r="C93" i="27" l="1"/>
  <c r="F93" i="27" s="1"/>
  <c r="C84" i="32"/>
  <c r="E84" i="32" s="1"/>
  <c r="C91" i="39"/>
  <c r="D91" i="39" s="1"/>
  <c r="E91" i="39" s="1"/>
  <c r="F83" i="20" s="1"/>
  <c r="C94" i="27"/>
  <c r="C92" i="39"/>
  <c r="D92" i="39" s="1"/>
  <c r="E92" i="39" s="1"/>
  <c r="F84" i="20" s="1"/>
  <c r="C85" i="32"/>
  <c r="E85" i="32" s="1"/>
  <c r="C50" i="27"/>
  <c r="C48" i="39"/>
  <c r="D48" i="39" s="1"/>
  <c r="E48" i="39" s="1"/>
  <c r="F40" i="20" s="1"/>
  <c r="C41" i="32"/>
  <c r="E41" i="32" s="1"/>
  <c r="C91" i="27"/>
  <c r="E91" i="27" s="1"/>
  <c r="C89" i="39"/>
  <c r="D89" i="39" s="1"/>
  <c r="E89" i="39" s="1"/>
  <c r="F81" i="20" s="1"/>
  <c r="C82" i="32"/>
  <c r="E82" i="32" s="1"/>
  <c r="C32" i="27"/>
  <c r="F32" i="27" s="1"/>
  <c r="C23" i="32"/>
  <c r="E23" i="32" s="1"/>
  <c r="C30" i="39"/>
  <c r="D30" i="39" s="1"/>
  <c r="E30" i="39" s="1"/>
  <c r="F22" i="20" s="1"/>
  <c r="C34" i="27"/>
  <c r="C32" i="39"/>
  <c r="D32" i="39" s="1"/>
  <c r="E32" i="39" s="1"/>
  <c r="F24" i="20" s="1"/>
  <c r="C25" i="32"/>
  <c r="E25" i="32" s="1"/>
  <c r="C70" i="27"/>
  <c r="E70" i="27" s="1"/>
  <c r="C68" i="39"/>
  <c r="D68" i="39" s="1"/>
  <c r="E68" i="39" s="1"/>
  <c r="F60" i="20" s="1"/>
  <c r="C61" i="32"/>
  <c r="E61" i="32" s="1"/>
  <c r="C75" i="27"/>
  <c r="F75" i="27" s="1"/>
  <c r="C73" i="39"/>
  <c r="D73" i="39" s="1"/>
  <c r="E73" i="39" s="1"/>
  <c r="F65" i="20" s="1"/>
  <c r="C66" i="32"/>
  <c r="E66" i="32" s="1"/>
  <c r="C39" i="27"/>
  <c r="D39" i="27" s="1"/>
  <c r="C37" i="39"/>
  <c r="D37" i="39" s="1"/>
  <c r="E37" i="39" s="1"/>
  <c r="F29" i="20" s="1"/>
  <c r="C30" i="32"/>
  <c r="E30" i="32" s="1"/>
  <c r="C61" i="27"/>
  <c r="E61" i="27" s="1"/>
  <c r="C52" i="32"/>
  <c r="E52" i="32" s="1"/>
  <c r="C59" i="39"/>
  <c r="D59" i="39" s="1"/>
  <c r="E59" i="39" s="1"/>
  <c r="F51" i="20" s="1"/>
  <c r="C46" i="27"/>
  <c r="D46" i="27" s="1"/>
  <c r="C44" i="39"/>
  <c r="D44" i="39" s="1"/>
  <c r="E44" i="39" s="1"/>
  <c r="F36" i="20" s="1"/>
  <c r="C37" i="32"/>
  <c r="E37" i="32" s="1"/>
  <c r="C56" i="27"/>
  <c r="D56" i="27" s="1"/>
  <c r="C47" i="32"/>
  <c r="E47" i="32" s="1"/>
  <c r="C54" i="39"/>
  <c r="D54" i="39" s="1"/>
  <c r="E54" i="39" s="1"/>
  <c r="F46" i="20" s="1"/>
  <c r="C92" i="27"/>
  <c r="D92" i="27" s="1"/>
  <c r="C83" i="32"/>
  <c r="E83" i="32" s="1"/>
  <c r="C90" i="39"/>
  <c r="D90" i="39" s="1"/>
  <c r="E90" i="39" s="1"/>
  <c r="F82" i="20" s="1"/>
  <c r="C18" i="27"/>
  <c r="E18" i="27" s="1"/>
  <c r="C16" i="39"/>
  <c r="D16" i="39" s="1"/>
  <c r="E16" i="39" s="1"/>
  <c r="F8" i="20" s="1"/>
  <c r="C9" i="32"/>
  <c r="E9" i="32" s="1"/>
  <c r="C62" i="27"/>
  <c r="F62" i="27" s="1"/>
  <c r="C60" i="39"/>
  <c r="D60" i="39" s="1"/>
  <c r="E60" i="39" s="1"/>
  <c r="F52" i="20" s="1"/>
  <c r="C53" i="32"/>
  <c r="E53" i="32" s="1"/>
  <c r="C59" i="27"/>
  <c r="D59" i="27" s="1"/>
  <c r="C57" i="39"/>
  <c r="D57" i="39" s="1"/>
  <c r="E57" i="39" s="1"/>
  <c r="F49" i="20" s="1"/>
  <c r="C50" i="32"/>
  <c r="E50" i="32" s="1"/>
  <c r="C87" i="27"/>
  <c r="D87" i="27" s="1"/>
  <c r="C78" i="32"/>
  <c r="E78" i="32" s="1"/>
  <c r="C85" i="39"/>
  <c r="D85" i="39" s="1"/>
  <c r="E85" i="39" s="1"/>
  <c r="F77" i="20" s="1"/>
  <c r="C37" i="27"/>
  <c r="D37" i="27" s="1"/>
  <c r="C28" i="32"/>
  <c r="E28" i="32" s="1"/>
  <c r="C35" i="39"/>
  <c r="D35" i="39" s="1"/>
  <c r="E35" i="39" s="1"/>
  <c r="F27" i="20" s="1"/>
  <c r="C81" i="27"/>
  <c r="D81" i="27" s="1"/>
  <c r="C72" i="32"/>
  <c r="E72" i="32" s="1"/>
  <c r="C79" i="39"/>
  <c r="D79" i="39" s="1"/>
  <c r="E79" i="39" s="1"/>
  <c r="F71" i="20" s="1"/>
  <c r="C30" i="27"/>
  <c r="F30" i="27" s="1"/>
  <c r="C28" i="39"/>
  <c r="D28" i="39" s="1"/>
  <c r="E28" i="39" s="1"/>
  <c r="F20" i="20" s="1"/>
  <c r="C21" i="32"/>
  <c r="E21" i="32" s="1"/>
  <c r="C43" i="27"/>
  <c r="E43" i="27" s="1"/>
  <c r="C41" i="39"/>
  <c r="D41" i="39" s="1"/>
  <c r="E41" i="39" s="1"/>
  <c r="F33" i="20" s="1"/>
  <c r="C34" i="32"/>
  <c r="E34" i="32" s="1"/>
  <c r="C16" i="27"/>
  <c r="E16" i="27" s="1"/>
  <c r="C7" i="32"/>
  <c r="E7" i="32" s="1"/>
  <c r="C14" i="39"/>
  <c r="D14" i="39" s="1"/>
  <c r="E14" i="39" s="1"/>
  <c r="F6" i="20" s="1"/>
  <c r="C15" i="25"/>
  <c r="E6" i="32"/>
  <c r="C13" i="39"/>
  <c r="D13" i="39" s="1"/>
  <c r="C53" i="27"/>
  <c r="C44" i="32"/>
  <c r="E44" i="32" s="1"/>
  <c r="C51" i="39"/>
  <c r="D51" i="39" s="1"/>
  <c r="E51" i="39" s="1"/>
  <c r="F43" i="20" s="1"/>
  <c r="C60" i="27"/>
  <c r="D60" i="27" s="1"/>
  <c r="C51" i="32"/>
  <c r="E51" i="32" s="1"/>
  <c r="C58" i="39"/>
  <c r="D58" i="39" s="1"/>
  <c r="E58" i="39" s="1"/>
  <c r="F50" i="20" s="1"/>
  <c r="C33" i="27"/>
  <c r="F33" i="27" s="1"/>
  <c r="C24" i="32"/>
  <c r="E24" i="32" s="1"/>
  <c r="C31" i="39"/>
  <c r="D31" i="39" s="1"/>
  <c r="E31" i="39" s="1"/>
  <c r="F23" i="20" s="1"/>
  <c r="C27" i="27"/>
  <c r="E27" i="27" s="1"/>
  <c r="C25" i="39"/>
  <c r="D25" i="39" s="1"/>
  <c r="E25" i="39" s="1"/>
  <c r="F17" i="20" s="1"/>
  <c r="C18" i="32"/>
  <c r="E18" i="32" s="1"/>
  <c r="C55" i="27"/>
  <c r="E55" i="27" s="1"/>
  <c r="C46" i="32"/>
  <c r="E46" i="32" s="1"/>
  <c r="C53" i="39"/>
  <c r="D53" i="39" s="1"/>
  <c r="E53" i="39" s="1"/>
  <c r="F45" i="20" s="1"/>
  <c r="C44" i="27"/>
  <c r="F44" i="27" s="1"/>
  <c r="C35" i="32"/>
  <c r="E35" i="32" s="1"/>
  <c r="C42" i="39"/>
  <c r="D42" i="39" s="1"/>
  <c r="E42" i="39" s="1"/>
  <c r="F34" i="20" s="1"/>
  <c r="C49" i="27"/>
  <c r="E49" i="27" s="1"/>
  <c r="C40" i="32"/>
  <c r="E40" i="32" s="1"/>
  <c r="C47" i="39"/>
  <c r="D47" i="39" s="1"/>
  <c r="E47" i="39" s="1"/>
  <c r="F39" i="20" s="1"/>
  <c r="C77" i="27"/>
  <c r="E77" i="27" s="1"/>
  <c r="C68" i="32"/>
  <c r="E68" i="32" s="1"/>
  <c r="C75" i="39"/>
  <c r="D75" i="39" s="1"/>
  <c r="E75" i="39" s="1"/>
  <c r="F67" i="20" s="1"/>
  <c r="C90" i="27"/>
  <c r="F90" i="27" s="1"/>
  <c r="C88" i="39"/>
  <c r="D88" i="39" s="1"/>
  <c r="E88" i="39" s="1"/>
  <c r="F80" i="20" s="1"/>
  <c r="C81" i="32"/>
  <c r="E81" i="32" s="1"/>
  <c r="C22" i="27"/>
  <c r="E22" i="27" s="1"/>
  <c r="C20" i="39"/>
  <c r="D20" i="39" s="1"/>
  <c r="E20" i="39" s="1"/>
  <c r="F12" i="20" s="1"/>
  <c r="C13" i="32"/>
  <c r="E13" i="32" s="1"/>
  <c r="C74" i="27"/>
  <c r="D74" i="27" s="1"/>
  <c r="C72" i="39"/>
  <c r="D72" i="39" s="1"/>
  <c r="E72" i="39" s="1"/>
  <c r="F64" i="20" s="1"/>
  <c r="C65" i="32"/>
  <c r="E65" i="32" s="1"/>
  <c r="C88" i="27"/>
  <c r="C79" i="32"/>
  <c r="E79" i="32" s="1"/>
  <c r="C86" i="39"/>
  <c r="D86" i="39" s="1"/>
  <c r="E86" i="39" s="1"/>
  <c r="F78" i="20" s="1"/>
  <c r="C17" i="27"/>
  <c r="F17" i="27" s="1"/>
  <c r="C8" i="32"/>
  <c r="E8" i="32" s="1"/>
  <c r="C15" i="39"/>
  <c r="D15" i="39" s="1"/>
  <c r="E15" i="39" s="1"/>
  <c r="F7" i="20" s="1"/>
  <c r="C21" i="27"/>
  <c r="D21" i="27" s="1"/>
  <c r="C12" i="32"/>
  <c r="E12" i="32" s="1"/>
  <c r="C19" i="39"/>
  <c r="D19" i="39" s="1"/>
  <c r="E19" i="39" s="1"/>
  <c r="F11" i="20" s="1"/>
  <c r="C58" i="27"/>
  <c r="D58" i="27" s="1"/>
  <c r="C56" i="39"/>
  <c r="D56" i="39" s="1"/>
  <c r="E56" i="39" s="1"/>
  <c r="F48" i="20" s="1"/>
  <c r="C49" i="32"/>
  <c r="E49" i="32" s="1"/>
  <c r="C54" i="27"/>
  <c r="F54" i="27" s="1"/>
  <c r="C52" i="39"/>
  <c r="D52" i="39" s="1"/>
  <c r="E52" i="39" s="1"/>
  <c r="F44" i="20" s="1"/>
  <c r="C45" i="32"/>
  <c r="E45" i="32" s="1"/>
  <c r="C82" i="27"/>
  <c r="F82" i="27" s="1"/>
  <c r="C80" i="39"/>
  <c r="D80" i="39" s="1"/>
  <c r="E80" i="39" s="1"/>
  <c r="F72" i="20" s="1"/>
  <c r="C73" i="32"/>
  <c r="E73" i="32" s="1"/>
  <c r="C19" i="27"/>
  <c r="E19" i="27" s="1"/>
  <c r="C17" i="39"/>
  <c r="D17" i="39" s="1"/>
  <c r="E17" i="39" s="1"/>
  <c r="F9" i="20" s="1"/>
  <c r="C10" i="32"/>
  <c r="E10" i="32" s="1"/>
  <c r="C45" i="27"/>
  <c r="E45" i="27" s="1"/>
  <c r="C36" i="32"/>
  <c r="E36" i="32" s="1"/>
  <c r="C43" i="39"/>
  <c r="D43" i="39" s="1"/>
  <c r="E43" i="39" s="1"/>
  <c r="F35" i="20" s="1"/>
  <c r="C24" i="27"/>
  <c r="F24" i="27" s="1"/>
  <c r="C15" i="32"/>
  <c r="E15" i="32" s="1"/>
  <c r="C22" i="39"/>
  <c r="D22" i="39" s="1"/>
  <c r="E22" i="39" s="1"/>
  <c r="F14" i="20" s="1"/>
  <c r="C95" i="27"/>
  <c r="F95" i="27" s="1"/>
  <c r="C93" i="39"/>
  <c r="D93" i="39" s="1"/>
  <c r="E93" i="39" s="1"/>
  <c r="F85" i="20" s="1"/>
  <c r="C86" i="32"/>
  <c r="E86" i="32" s="1"/>
  <c r="C84" i="27"/>
  <c r="C82" i="39"/>
  <c r="D82" i="39" s="1"/>
  <c r="E82" i="39" s="1"/>
  <c r="F74" i="20" s="1"/>
  <c r="C75" i="32"/>
  <c r="E75" i="32" s="1"/>
  <c r="C42" i="27"/>
  <c r="C40" i="39"/>
  <c r="D40" i="39" s="1"/>
  <c r="E40" i="39" s="1"/>
  <c r="F32" i="20" s="1"/>
  <c r="C33" i="32"/>
  <c r="E33" i="32" s="1"/>
  <c r="C78" i="27"/>
  <c r="E78" i="27" s="1"/>
  <c r="C76" i="39"/>
  <c r="D76" i="39" s="1"/>
  <c r="E76" i="39" s="1"/>
  <c r="F68" i="20" s="1"/>
  <c r="C69" i="32"/>
  <c r="E69" i="32" s="1"/>
  <c r="C69" i="27"/>
  <c r="C60" i="32"/>
  <c r="E60" i="32" s="1"/>
  <c r="C67" i="39"/>
  <c r="D67" i="39" s="1"/>
  <c r="E67" i="39" s="1"/>
  <c r="F59" i="20" s="1"/>
  <c r="C40" i="27"/>
  <c r="D40" i="27" s="1"/>
  <c r="C31" i="32"/>
  <c r="E31" i="32" s="1"/>
  <c r="C38" i="39"/>
  <c r="D38" i="39" s="1"/>
  <c r="E38" i="39" s="1"/>
  <c r="F30" i="20" s="1"/>
  <c r="C68" i="27"/>
  <c r="D68" i="27" s="1"/>
  <c r="C66" i="39"/>
  <c r="D66" i="39" s="1"/>
  <c r="E66" i="39" s="1"/>
  <c r="F58" i="20" s="1"/>
  <c r="C59" i="32"/>
  <c r="E59" i="32" s="1"/>
  <c r="C26" i="27"/>
  <c r="F26" i="27" s="1"/>
  <c r="C24" i="39"/>
  <c r="D24" i="39" s="1"/>
  <c r="E24" i="39" s="1"/>
  <c r="F16" i="20" s="1"/>
  <c r="C17" i="32"/>
  <c r="E17" i="32" s="1"/>
  <c r="C25" i="27"/>
  <c r="E25" i="27" s="1"/>
  <c r="C16" i="32"/>
  <c r="E16" i="32" s="1"/>
  <c r="C23" i="39"/>
  <c r="D23" i="39" s="1"/>
  <c r="E23" i="39" s="1"/>
  <c r="F15" i="20" s="1"/>
  <c r="C28" i="27"/>
  <c r="C26" i="39"/>
  <c r="D26" i="39" s="1"/>
  <c r="E26" i="39" s="1"/>
  <c r="F18" i="20" s="1"/>
  <c r="C19" i="32"/>
  <c r="E19" i="32" s="1"/>
  <c r="C23" i="27"/>
  <c r="C21" i="39"/>
  <c r="D21" i="39" s="1"/>
  <c r="E21" i="39" s="1"/>
  <c r="F13" i="20" s="1"/>
  <c r="C14" i="32"/>
  <c r="E14" i="32" s="1"/>
  <c r="C29" i="27"/>
  <c r="D29" i="27" s="1"/>
  <c r="C20" i="32"/>
  <c r="E20" i="32" s="1"/>
  <c r="C27" i="39"/>
  <c r="D27" i="39" s="1"/>
  <c r="E27" i="39" s="1"/>
  <c r="F19" i="20" s="1"/>
  <c r="C63" i="27"/>
  <c r="F63" i="27" s="1"/>
  <c r="C61" i="39"/>
  <c r="D61" i="39" s="1"/>
  <c r="E61" i="39" s="1"/>
  <c r="F53" i="20" s="1"/>
  <c r="C54" i="32"/>
  <c r="E54" i="32" s="1"/>
  <c r="C52" i="27"/>
  <c r="D52" i="27" s="1"/>
  <c r="C50" i="39"/>
  <c r="D50" i="39" s="1"/>
  <c r="E50" i="39" s="1"/>
  <c r="F42" i="20" s="1"/>
  <c r="C43" i="32"/>
  <c r="E43" i="32" s="1"/>
  <c r="C89" i="27"/>
  <c r="D89" i="27" s="1"/>
  <c r="C80" i="32"/>
  <c r="E80" i="32" s="1"/>
  <c r="C87" i="39"/>
  <c r="D87" i="39" s="1"/>
  <c r="E87" i="39" s="1"/>
  <c r="F79" i="20" s="1"/>
  <c r="C38" i="27"/>
  <c r="C36" i="39"/>
  <c r="D36" i="39" s="1"/>
  <c r="E36" i="39" s="1"/>
  <c r="F28" i="20" s="1"/>
  <c r="C29" i="32"/>
  <c r="E29" i="32" s="1"/>
  <c r="C83" i="27"/>
  <c r="E83" i="27" s="1"/>
  <c r="C81" i="39"/>
  <c r="D81" i="39" s="1"/>
  <c r="E81" i="39" s="1"/>
  <c r="F73" i="20" s="1"/>
  <c r="C74" i="32"/>
  <c r="E74" i="32" s="1"/>
  <c r="C79" i="27"/>
  <c r="D79" i="27" s="1"/>
  <c r="C70" i="32"/>
  <c r="E70" i="32" s="1"/>
  <c r="C77" i="39"/>
  <c r="D77" i="39" s="1"/>
  <c r="E77" i="39" s="1"/>
  <c r="F69" i="20" s="1"/>
  <c r="C36" i="27"/>
  <c r="F36" i="27" s="1"/>
  <c r="C34" i="39"/>
  <c r="D34" i="39" s="1"/>
  <c r="E34" i="39" s="1"/>
  <c r="F26" i="20" s="1"/>
  <c r="E27" i="32"/>
  <c r="C73" i="27"/>
  <c r="D73" i="27" s="1"/>
  <c r="C64" i="32"/>
  <c r="E64" i="32" s="1"/>
  <c r="C71" i="39"/>
  <c r="D71" i="39" s="1"/>
  <c r="E71" i="39" s="1"/>
  <c r="F63" i="20" s="1"/>
  <c r="C86" i="27"/>
  <c r="C84" i="39"/>
  <c r="D84" i="39" s="1"/>
  <c r="E84" i="39" s="1"/>
  <c r="F76" i="20" s="1"/>
  <c r="C77" i="32"/>
  <c r="E77" i="32" s="1"/>
  <c r="C48" i="27"/>
  <c r="E48" i="27" s="1"/>
  <c r="C39" i="32"/>
  <c r="E39" i="32" s="1"/>
  <c r="C46" i="39"/>
  <c r="D46" i="39" s="1"/>
  <c r="E46" i="39" s="1"/>
  <c r="F38" i="20" s="1"/>
  <c r="C80" i="27"/>
  <c r="D80" i="27" s="1"/>
  <c r="C71" i="32"/>
  <c r="E71" i="32" s="1"/>
  <c r="C78" i="39"/>
  <c r="D78" i="39" s="1"/>
  <c r="E78" i="39" s="1"/>
  <c r="F70" i="20" s="1"/>
  <c r="C35" i="27"/>
  <c r="E35" i="27" s="1"/>
  <c r="C33" i="39"/>
  <c r="D33" i="39" s="1"/>
  <c r="E33" i="39" s="1"/>
  <c r="F25" i="20" s="1"/>
  <c r="C26" i="32"/>
  <c r="E26" i="32" s="1"/>
  <c r="C31" i="27"/>
  <c r="F31" i="27" s="1"/>
  <c r="C22" i="32"/>
  <c r="E22" i="32" s="1"/>
  <c r="C29" i="39"/>
  <c r="D29" i="39" s="1"/>
  <c r="E29" i="39" s="1"/>
  <c r="F21" i="20" s="1"/>
  <c r="C20" i="27"/>
  <c r="C11" i="32"/>
  <c r="E11" i="32" s="1"/>
  <c r="C18" i="39"/>
  <c r="D18" i="39" s="1"/>
  <c r="E18" i="39" s="1"/>
  <c r="F10" i="20" s="1"/>
  <c r="C57" i="27"/>
  <c r="E57" i="27" s="1"/>
  <c r="C48" i="32"/>
  <c r="E48" i="32" s="1"/>
  <c r="C55" i="39"/>
  <c r="D55" i="39" s="1"/>
  <c r="E55" i="39" s="1"/>
  <c r="F47" i="20" s="1"/>
  <c r="C85" i="27"/>
  <c r="F85" i="27" s="1"/>
  <c r="C76" i="32"/>
  <c r="E76" i="32" s="1"/>
  <c r="C83" i="39"/>
  <c r="D83" i="39" s="1"/>
  <c r="E83" i="39" s="1"/>
  <c r="F75" i="20" s="1"/>
  <c r="C51" i="27"/>
  <c r="E51" i="27" s="1"/>
  <c r="C49" i="39"/>
  <c r="D49" i="39" s="1"/>
  <c r="E49" i="39" s="1"/>
  <c r="F41" i="20" s="1"/>
  <c r="C42" i="32"/>
  <c r="E42" i="32" s="1"/>
  <c r="C47" i="27"/>
  <c r="C45" i="39"/>
  <c r="D45" i="39" s="1"/>
  <c r="E45" i="39" s="1"/>
  <c r="F37" i="20" s="1"/>
  <c r="C38" i="32"/>
  <c r="E38" i="32" s="1"/>
  <c r="C64" i="27"/>
  <c r="D64" i="27" s="1"/>
  <c r="C55" i="32"/>
  <c r="E55" i="32" s="1"/>
  <c r="C62" i="39"/>
  <c r="D62" i="39" s="1"/>
  <c r="E62" i="39" s="1"/>
  <c r="F54" i="20" s="1"/>
  <c r="C41" i="27"/>
  <c r="D41" i="27" s="1"/>
  <c r="C32" i="32"/>
  <c r="E32" i="32" s="1"/>
  <c r="C39" i="39"/>
  <c r="D39" i="39" s="1"/>
  <c r="E39" i="39" s="1"/>
  <c r="F31" i="20" s="1"/>
  <c r="M85" i="9"/>
  <c r="N85" i="9" s="1"/>
  <c r="C14" i="26"/>
  <c r="F14" i="26" s="1"/>
  <c r="C14" i="23"/>
  <c r="M62" i="9"/>
  <c r="N62" i="9" s="1"/>
  <c r="M15" i="9"/>
  <c r="N15" i="9" s="1"/>
  <c r="C15" i="27"/>
  <c r="L76" i="9"/>
  <c r="L67" i="9"/>
  <c r="C28" i="25"/>
  <c r="C27" i="26"/>
  <c r="F27" i="26" s="1"/>
  <c r="C23" i="25"/>
  <c r="C22" i="26"/>
  <c r="F22" i="26" s="1"/>
  <c r="C54" i="25"/>
  <c r="C53" i="26"/>
  <c r="F53" i="26" s="1"/>
  <c r="C24" i="25"/>
  <c r="C23" i="26"/>
  <c r="F23" i="26" s="1"/>
  <c r="C95" i="25"/>
  <c r="C94" i="26"/>
  <c r="F94" i="26" s="1"/>
  <c r="C84" i="25"/>
  <c r="C83" i="26"/>
  <c r="F83" i="26" s="1"/>
  <c r="C42" i="25"/>
  <c r="C41" i="26"/>
  <c r="F41" i="26" s="1"/>
  <c r="C78" i="25"/>
  <c r="C77" i="26"/>
  <c r="F77" i="26" s="1"/>
  <c r="C69" i="25"/>
  <c r="C68" i="26"/>
  <c r="F68" i="26" s="1"/>
  <c r="C40" i="25"/>
  <c r="C39" i="26"/>
  <c r="F39" i="26" s="1"/>
  <c r="C68" i="25"/>
  <c r="C67" i="26"/>
  <c r="F67" i="26" s="1"/>
  <c r="C26" i="25"/>
  <c r="C25" i="26"/>
  <c r="F25" i="26" s="1"/>
  <c r="C74" i="25"/>
  <c r="C73" i="26"/>
  <c r="F73" i="26" s="1"/>
  <c r="C58" i="25"/>
  <c r="C57" i="26"/>
  <c r="F57" i="26" s="1"/>
  <c r="C89" i="25"/>
  <c r="C88" i="26"/>
  <c r="F88" i="26" s="1"/>
  <c r="C88" i="25"/>
  <c r="C87" i="26"/>
  <c r="F87" i="26" s="1"/>
  <c r="C29" i="25"/>
  <c r="C28" i="26"/>
  <c r="F28" i="26" s="1"/>
  <c r="C38" i="25"/>
  <c r="C37" i="26"/>
  <c r="F37" i="26" s="1"/>
  <c r="C36" i="25"/>
  <c r="C35" i="26"/>
  <c r="F35" i="26" s="1"/>
  <c r="C20" i="25"/>
  <c r="C19" i="26"/>
  <c r="F19" i="26" s="1"/>
  <c r="C85" i="25"/>
  <c r="C84" i="26"/>
  <c r="F84" i="26" s="1"/>
  <c r="C51" i="25"/>
  <c r="C50" i="26"/>
  <c r="F50" i="26" s="1"/>
  <c r="C64" i="25"/>
  <c r="C63" i="26"/>
  <c r="F63" i="26" s="1"/>
  <c r="C41" i="25"/>
  <c r="C40" i="26"/>
  <c r="F40" i="26" s="1"/>
  <c r="C80" i="25"/>
  <c r="C79" i="26"/>
  <c r="F79" i="26" s="1"/>
  <c r="C17" i="25"/>
  <c r="C16" i="26"/>
  <c r="F16" i="26" s="1"/>
  <c r="C52" i="25"/>
  <c r="C51" i="26"/>
  <c r="F51" i="26" s="1"/>
  <c r="C79" i="25"/>
  <c r="C78" i="26"/>
  <c r="F78" i="26" s="1"/>
  <c r="C35" i="25"/>
  <c r="C34" i="26"/>
  <c r="F34" i="26" s="1"/>
  <c r="C31" i="25"/>
  <c r="C30" i="26"/>
  <c r="F30" i="26" s="1"/>
  <c r="C57" i="25"/>
  <c r="C56" i="26"/>
  <c r="F56" i="26" s="1"/>
  <c r="C47" i="25"/>
  <c r="C46" i="26"/>
  <c r="F46" i="26" s="1"/>
  <c r="C82" i="25"/>
  <c r="C81" i="26"/>
  <c r="F81" i="26" s="1"/>
  <c r="C86" i="25"/>
  <c r="C85" i="26"/>
  <c r="F85" i="26" s="1"/>
  <c r="C93" i="25"/>
  <c r="C92" i="26"/>
  <c r="F92" i="26" s="1"/>
  <c r="C25" i="25"/>
  <c r="C24" i="26"/>
  <c r="F24" i="26" s="1"/>
  <c r="C19" i="25"/>
  <c r="C18" i="26"/>
  <c r="F18" i="26" s="1"/>
  <c r="C48" i="25"/>
  <c r="C47" i="26"/>
  <c r="F47" i="26" s="1"/>
  <c r="C53" i="25"/>
  <c r="C52" i="26"/>
  <c r="F52" i="26" s="1"/>
  <c r="C94" i="25"/>
  <c r="C93" i="26"/>
  <c r="F93" i="26" s="1"/>
  <c r="C45" i="25"/>
  <c r="C44" i="26"/>
  <c r="F44" i="26" s="1"/>
  <c r="C21" i="25"/>
  <c r="C20" i="26"/>
  <c r="F20" i="26" s="1"/>
  <c r="C63" i="25"/>
  <c r="C62" i="26"/>
  <c r="F62" i="26" s="1"/>
  <c r="C83" i="25"/>
  <c r="C82" i="26"/>
  <c r="F82" i="26" s="1"/>
  <c r="C73" i="25"/>
  <c r="C72" i="26"/>
  <c r="F72" i="26" s="1"/>
  <c r="C61" i="25"/>
  <c r="C60" i="26"/>
  <c r="F60" i="26" s="1"/>
  <c r="C50" i="25"/>
  <c r="C49" i="26"/>
  <c r="F49" i="26" s="1"/>
  <c r="C46" i="25"/>
  <c r="C45" i="26"/>
  <c r="F45" i="26" s="1"/>
  <c r="C91" i="25"/>
  <c r="C90" i="26"/>
  <c r="F90" i="26" s="1"/>
  <c r="C56" i="25"/>
  <c r="C55" i="26"/>
  <c r="F55" i="26" s="1"/>
  <c r="C32" i="25"/>
  <c r="C31" i="26"/>
  <c r="F31" i="26" s="1"/>
  <c r="C34" i="25"/>
  <c r="C33" i="26"/>
  <c r="F33" i="26" s="1"/>
  <c r="C70" i="25"/>
  <c r="C69" i="26"/>
  <c r="F69" i="26" s="1"/>
  <c r="C75" i="25"/>
  <c r="C74" i="26"/>
  <c r="F74" i="26" s="1"/>
  <c r="C39" i="25"/>
  <c r="C38" i="26"/>
  <c r="F38" i="26" s="1"/>
  <c r="C18" i="25"/>
  <c r="C17" i="26"/>
  <c r="F17" i="26" s="1"/>
  <c r="C87" i="25"/>
  <c r="C86" i="26"/>
  <c r="F86" i="26" s="1"/>
  <c r="C81" i="25"/>
  <c r="C80" i="26"/>
  <c r="F80" i="26" s="1"/>
  <c r="C43" i="25"/>
  <c r="C42" i="26"/>
  <c r="F42" i="26" s="1"/>
  <c r="C92" i="25"/>
  <c r="C91" i="26"/>
  <c r="F91" i="26" s="1"/>
  <c r="C62" i="25"/>
  <c r="C61" i="26"/>
  <c r="F61" i="26" s="1"/>
  <c r="C59" i="25"/>
  <c r="C58" i="26"/>
  <c r="F58" i="26" s="1"/>
  <c r="C37" i="25"/>
  <c r="C36" i="26"/>
  <c r="F36" i="26" s="1"/>
  <c r="C30" i="25"/>
  <c r="C29" i="26"/>
  <c r="F29" i="26" s="1"/>
  <c r="C16" i="25"/>
  <c r="C15" i="26"/>
  <c r="F15" i="26" s="1"/>
  <c r="C60" i="25"/>
  <c r="C59" i="26"/>
  <c r="F59" i="26" s="1"/>
  <c r="C33" i="25"/>
  <c r="C32" i="26"/>
  <c r="F32" i="26" s="1"/>
  <c r="C27" i="25"/>
  <c r="C26" i="26"/>
  <c r="F26" i="26" s="1"/>
  <c r="C55" i="25"/>
  <c r="C54" i="26"/>
  <c r="F54" i="26" s="1"/>
  <c r="C44" i="25"/>
  <c r="C43" i="26"/>
  <c r="F43" i="26" s="1"/>
  <c r="C49" i="25"/>
  <c r="C48" i="26"/>
  <c r="F48" i="26" s="1"/>
  <c r="C77" i="25"/>
  <c r="C76" i="26"/>
  <c r="F76" i="26" s="1"/>
  <c r="C90" i="25"/>
  <c r="C89" i="26"/>
  <c r="F89" i="26" s="1"/>
  <c r="C22" i="25"/>
  <c r="C21" i="26"/>
  <c r="F21" i="26" s="1"/>
  <c r="C54" i="23"/>
  <c r="C73" i="23"/>
  <c r="C20" i="23"/>
  <c r="C91" i="23"/>
  <c r="C17" i="23"/>
  <c r="C61" i="23"/>
  <c r="C58" i="23"/>
  <c r="C86" i="23"/>
  <c r="C36" i="23"/>
  <c r="C80" i="23"/>
  <c r="C29" i="23"/>
  <c r="C42" i="23"/>
  <c r="C15" i="23"/>
  <c r="C89" i="23"/>
  <c r="C22" i="23"/>
  <c r="C53" i="23"/>
  <c r="C23" i="23"/>
  <c r="C94" i="23"/>
  <c r="C83" i="23"/>
  <c r="C41" i="23"/>
  <c r="C77" i="23"/>
  <c r="C68" i="23"/>
  <c r="C39" i="23"/>
  <c r="C67" i="23"/>
  <c r="C25" i="23"/>
  <c r="C26" i="23"/>
  <c r="C76" i="23"/>
  <c r="C27" i="23"/>
  <c r="C16" i="23"/>
  <c r="C28" i="23"/>
  <c r="C62" i="23"/>
  <c r="C51" i="23"/>
  <c r="C88" i="23"/>
  <c r="C37" i="23"/>
  <c r="C82" i="23"/>
  <c r="C78" i="23"/>
  <c r="C35" i="23"/>
  <c r="C72" i="23"/>
  <c r="C32" i="23"/>
  <c r="C21" i="23"/>
  <c r="C87" i="23"/>
  <c r="C34" i="23"/>
  <c r="C30" i="23"/>
  <c r="C19" i="23"/>
  <c r="C56" i="23"/>
  <c r="C84" i="23"/>
  <c r="C50" i="23"/>
  <c r="C46" i="23"/>
  <c r="C63" i="23"/>
  <c r="C40" i="23"/>
  <c r="C43" i="23"/>
  <c r="C79" i="23"/>
  <c r="C85" i="23"/>
  <c r="C18" i="23"/>
  <c r="C47" i="23"/>
  <c r="C52" i="23"/>
  <c r="C93" i="23"/>
  <c r="C59" i="23"/>
  <c r="C48" i="23"/>
  <c r="C44" i="23"/>
  <c r="C57" i="23"/>
  <c r="C81" i="23"/>
  <c r="C92" i="23"/>
  <c r="C24" i="23"/>
  <c r="C60" i="23"/>
  <c r="C49" i="23"/>
  <c r="C45" i="23"/>
  <c r="C90" i="23"/>
  <c r="C55" i="23"/>
  <c r="C31" i="23"/>
  <c r="C33" i="23"/>
  <c r="C69" i="23"/>
  <c r="C74" i="23"/>
  <c r="C38" i="23"/>
  <c r="N51" i="9"/>
  <c r="N29" i="9"/>
  <c r="N63" i="9"/>
  <c r="N52" i="9"/>
  <c r="N89" i="9"/>
  <c r="N38" i="9"/>
  <c r="N83" i="9"/>
  <c r="N79" i="9"/>
  <c r="N36" i="9"/>
  <c r="N73" i="9"/>
  <c r="N35" i="9"/>
  <c r="N47" i="9"/>
  <c r="N82" i="9"/>
  <c r="N86" i="9"/>
  <c r="N93" i="9"/>
  <c r="N25" i="9"/>
  <c r="N19" i="9"/>
  <c r="N48" i="9"/>
  <c r="N53" i="9"/>
  <c r="N94" i="9"/>
  <c r="N20" i="9"/>
  <c r="N56" i="9"/>
  <c r="N75" i="9"/>
  <c r="N57" i="9"/>
  <c r="N61" i="9"/>
  <c r="N91" i="9"/>
  <c r="N32" i="9"/>
  <c r="N70" i="9"/>
  <c r="N39" i="9"/>
  <c r="N92" i="9"/>
  <c r="N18" i="9"/>
  <c r="N59" i="9"/>
  <c r="N87" i="9"/>
  <c r="N37" i="9"/>
  <c r="N81" i="9"/>
  <c r="N30" i="9"/>
  <c r="N43" i="9"/>
  <c r="N16" i="9"/>
  <c r="N64" i="9"/>
  <c r="N27" i="9"/>
  <c r="N55" i="9"/>
  <c r="N44" i="9"/>
  <c r="N49" i="9"/>
  <c r="N77" i="9"/>
  <c r="N90" i="9"/>
  <c r="N22" i="9"/>
  <c r="N31" i="9"/>
  <c r="N41" i="9"/>
  <c r="N50" i="9"/>
  <c r="N34" i="9"/>
  <c r="N80" i="9"/>
  <c r="N45" i="9"/>
  <c r="N74" i="9"/>
  <c r="N23" i="9"/>
  <c r="N88" i="9"/>
  <c r="N17" i="9"/>
  <c r="N21" i="9"/>
  <c r="N58" i="9"/>
  <c r="N54" i="9"/>
  <c r="N46" i="9"/>
  <c r="N60" i="9"/>
  <c r="N33" i="9"/>
  <c r="N28" i="9"/>
  <c r="N24" i="9"/>
  <c r="N95" i="9"/>
  <c r="N84" i="9"/>
  <c r="N42" i="9"/>
  <c r="N78" i="9"/>
  <c r="N69" i="9"/>
  <c r="N40" i="9"/>
  <c r="N68" i="9"/>
  <c r="N26" i="9"/>
  <c r="L66" i="9"/>
  <c r="L72" i="9"/>
  <c r="L71" i="9"/>
  <c r="L65" i="9"/>
  <c r="M76" i="9"/>
  <c r="M67" i="9"/>
  <c r="J96" i="9"/>
  <c r="H96" i="9"/>
  <c r="E39" i="27" l="1"/>
  <c r="E87" i="27"/>
  <c r="D70" i="27"/>
  <c r="D62" i="27"/>
  <c r="F77" i="27"/>
  <c r="F39" i="27"/>
  <c r="F70" i="27"/>
  <c r="D93" i="27"/>
  <c r="F87" i="27"/>
  <c r="E60" i="27"/>
  <c r="D49" i="25"/>
  <c r="F49" i="25"/>
  <c r="G49" i="25" s="1"/>
  <c r="F93" i="25"/>
  <c r="G93" i="25" s="1"/>
  <c r="D93" i="25"/>
  <c r="F42" i="25"/>
  <c r="G42" i="25" s="1"/>
  <c r="D42" i="25"/>
  <c r="D43" i="25"/>
  <c r="F43" i="25"/>
  <c r="G43" i="25" s="1"/>
  <c r="F53" i="25"/>
  <c r="G53" i="25" s="1"/>
  <c r="D53" i="25"/>
  <c r="D68" i="25"/>
  <c r="F68" i="25"/>
  <c r="G68" i="25" s="1"/>
  <c r="D22" i="25"/>
  <c r="F22" i="25"/>
  <c r="G22" i="25" s="1"/>
  <c r="D44" i="25"/>
  <c r="F44" i="25"/>
  <c r="G44" i="25" s="1"/>
  <c r="F60" i="25"/>
  <c r="G60" i="25" s="1"/>
  <c r="D60" i="25"/>
  <c r="F59" i="25"/>
  <c r="G59" i="25" s="1"/>
  <c r="D59" i="25"/>
  <c r="D81" i="25"/>
  <c r="F81" i="25"/>
  <c r="G81" i="25" s="1"/>
  <c r="F75" i="25"/>
  <c r="G75" i="25" s="1"/>
  <c r="D75" i="25"/>
  <c r="D56" i="25"/>
  <c r="F56" i="25"/>
  <c r="G56" i="25" s="1"/>
  <c r="F61" i="25"/>
  <c r="G61" i="25" s="1"/>
  <c r="D61" i="25"/>
  <c r="F21" i="25"/>
  <c r="G21" i="25" s="1"/>
  <c r="D21" i="25"/>
  <c r="D48" i="25"/>
  <c r="F48" i="25"/>
  <c r="G48" i="25" s="1"/>
  <c r="D86" i="25"/>
  <c r="F86" i="25"/>
  <c r="G86" i="25" s="1"/>
  <c r="D31" i="25"/>
  <c r="F31" i="25"/>
  <c r="G31" i="25" s="1"/>
  <c r="D17" i="25"/>
  <c r="F17" i="25"/>
  <c r="G17" i="25" s="1"/>
  <c r="F51" i="25"/>
  <c r="G51" i="25" s="1"/>
  <c r="D51" i="25"/>
  <c r="D38" i="25"/>
  <c r="F38" i="25"/>
  <c r="G38" i="25" s="1"/>
  <c r="D58" i="25"/>
  <c r="F58" i="25"/>
  <c r="G58" i="25" s="1"/>
  <c r="D40" i="25"/>
  <c r="F40" i="25"/>
  <c r="G40" i="25" s="1"/>
  <c r="D84" i="25"/>
  <c r="F84" i="25"/>
  <c r="G84" i="25" s="1"/>
  <c r="D23" i="25"/>
  <c r="F23" i="25"/>
  <c r="G23" i="25" s="1"/>
  <c r="D33" i="25"/>
  <c r="F33" i="25"/>
  <c r="G33" i="25" s="1"/>
  <c r="D63" i="25"/>
  <c r="F63" i="25"/>
  <c r="G63" i="25" s="1"/>
  <c r="F36" i="25"/>
  <c r="G36" i="25" s="1"/>
  <c r="D36" i="25"/>
  <c r="F37" i="25"/>
  <c r="G37" i="25" s="1"/>
  <c r="D37" i="25"/>
  <c r="F52" i="25"/>
  <c r="G52" i="25" s="1"/>
  <c r="D52" i="25"/>
  <c r="F90" i="25"/>
  <c r="G90" i="25" s="1"/>
  <c r="D90" i="25"/>
  <c r="D55" i="25"/>
  <c r="F55" i="25"/>
  <c r="G55" i="25" s="1"/>
  <c r="D16" i="25"/>
  <c r="F16" i="25"/>
  <c r="G16" i="25" s="1"/>
  <c r="D62" i="25"/>
  <c r="F62" i="25"/>
  <c r="G62" i="25" s="1"/>
  <c r="D87" i="25"/>
  <c r="F87" i="25"/>
  <c r="G87" i="25" s="1"/>
  <c r="D70" i="25"/>
  <c r="F70" i="25"/>
  <c r="G70" i="25" s="1"/>
  <c r="F91" i="25"/>
  <c r="G91" i="25" s="1"/>
  <c r="D91" i="25"/>
  <c r="D73" i="25"/>
  <c r="F73" i="25"/>
  <c r="G73" i="25" s="1"/>
  <c r="F45" i="25"/>
  <c r="G45" i="25" s="1"/>
  <c r="D45" i="25"/>
  <c r="F19" i="25"/>
  <c r="G19" i="25" s="1"/>
  <c r="D19" i="25"/>
  <c r="F82" i="25"/>
  <c r="G82" i="25" s="1"/>
  <c r="D82" i="25"/>
  <c r="D35" i="25"/>
  <c r="F35" i="25"/>
  <c r="G35" i="25" s="1"/>
  <c r="D80" i="25"/>
  <c r="F80" i="25"/>
  <c r="G80" i="25" s="1"/>
  <c r="F85" i="25"/>
  <c r="G85" i="25" s="1"/>
  <c r="D85" i="25"/>
  <c r="F29" i="25"/>
  <c r="G29" i="25" s="1"/>
  <c r="D29" i="25"/>
  <c r="F74" i="25"/>
  <c r="G74" i="25" s="1"/>
  <c r="D74" i="25"/>
  <c r="F69" i="25"/>
  <c r="G69" i="25" s="1"/>
  <c r="D69" i="25"/>
  <c r="D95" i="25"/>
  <c r="F95" i="25"/>
  <c r="G95" i="25" s="1"/>
  <c r="F28" i="25"/>
  <c r="G28" i="25" s="1"/>
  <c r="D28" i="25"/>
  <c r="D32" i="25"/>
  <c r="F32" i="25"/>
  <c r="G32" i="25" s="1"/>
  <c r="D64" i="25"/>
  <c r="F64" i="25"/>
  <c r="G64" i="25" s="1"/>
  <c r="D15" i="25"/>
  <c r="F15" i="25"/>
  <c r="G15" i="25" s="1"/>
  <c r="F50" i="25"/>
  <c r="G50" i="25" s="1"/>
  <c r="D50" i="25"/>
  <c r="D89" i="25"/>
  <c r="F89" i="25"/>
  <c r="G89" i="25" s="1"/>
  <c r="F77" i="25"/>
  <c r="G77" i="25" s="1"/>
  <c r="D77" i="25"/>
  <c r="D27" i="25"/>
  <c r="F27" i="25"/>
  <c r="G27" i="25" s="1"/>
  <c r="D30" i="25"/>
  <c r="F30" i="25"/>
  <c r="G30" i="25" s="1"/>
  <c r="F92" i="25"/>
  <c r="G92" i="25" s="1"/>
  <c r="D92" i="25"/>
  <c r="D18" i="25"/>
  <c r="F18" i="25"/>
  <c r="G18" i="25" s="1"/>
  <c r="D34" i="25"/>
  <c r="F34" i="25"/>
  <c r="G34" i="25" s="1"/>
  <c r="D46" i="25"/>
  <c r="F46" i="25"/>
  <c r="G46" i="25" s="1"/>
  <c r="D83" i="25"/>
  <c r="F83" i="25"/>
  <c r="G83" i="25" s="1"/>
  <c r="D94" i="25"/>
  <c r="F94" i="25"/>
  <c r="G94" i="25" s="1"/>
  <c r="D25" i="25"/>
  <c r="F25" i="25"/>
  <c r="G25" i="25" s="1"/>
  <c r="D47" i="25"/>
  <c r="F47" i="25"/>
  <c r="G47" i="25" s="1"/>
  <c r="D79" i="25"/>
  <c r="F79" i="25"/>
  <c r="G79" i="25" s="1"/>
  <c r="D41" i="25"/>
  <c r="F41" i="25"/>
  <c r="G41" i="25" s="1"/>
  <c r="D20" i="25"/>
  <c r="F20" i="25"/>
  <c r="G20" i="25" s="1"/>
  <c r="D88" i="25"/>
  <c r="F88" i="25"/>
  <c r="G88" i="25" s="1"/>
  <c r="F26" i="25"/>
  <c r="G26" i="25" s="1"/>
  <c r="D26" i="25"/>
  <c r="D78" i="25"/>
  <c r="F78" i="25"/>
  <c r="G78" i="25" s="1"/>
  <c r="D24" i="25"/>
  <c r="F24" i="25"/>
  <c r="G24" i="25" s="1"/>
  <c r="D39" i="25"/>
  <c r="F39" i="25"/>
  <c r="G39" i="25" s="1"/>
  <c r="D57" i="25"/>
  <c r="F57" i="25"/>
  <c r="G57" i="25" s="1"/>
  <c r="D54" i="25"/>
  <c r="F54" i="25"/>
  <c r="G54" i="25" s="1"/>
  <c r="D91" i="27"/>
  <c r="F19" i="27"/>
  <c r="E32" i="27"/>
  <c r="D32" i="27"/>
  <c r="J14" i="26"/>
  <c r="E15" i="27"/>
  <c r="D15" i="27"/>
  <c r="F15" i="27"/>
  <c r="E62" i="27"/>
  <c r="D22" i="27"/>
  <c r="E90" i="27"/>
  <c r="F60" i="27"/>
  <c r="E21" i="27"/>
  <c r="E95" i="27"/>
  <c r="F91" i="27"/>
  <c r="E30" i="27"/>
  <c r="E56" i="27"/>
  <c r="D55" i="27"/>
  <c r="D30" i="27"/>
  <c r="F56" i="27"/>
  <c r="D17" i="27"/>
  <c r="E53" i="27"/>
  <c r="E40" i="27"/>
  <c r="F61" i="27"/>
  <c r="E94" i="27"/>
  <c r="E37" i="27"/>
  <c r="D94" i="27"/>
  <c r="F94" i="27"/>
  <c r="D54" i="27"/>
  <c r="E54" i="27"/>
  <c r="D77" i="27"/>
  <c r="E88" i="27"/>
  <c r="D33" i="27"/>
  <c r="F37" i="27"/>
  <c r="D61" i="27"/>
  <c r="E74" i="27"/>
  <c r="E33" i="27"/>
  <c r="F78" i="27"/>
  <c r="E85" i="27"/>
  <c r="D78" i="27"/>
  <c r="D45" i="27"/>
  <c r="F48" i="27"/>
  <c r="D19" i="27"/>
  <c r="F74" i="27"/>
  <c r="F22" i="27"/>
  <c r="F45" i="27"/>
  <c r="F89" i="27"/>
  <c r="F74" i="24"/>
  <c r="F60" i="24"/>
  <c r="F57" i="24"/>
  <c r="F63" i="24"/>
  <c r="F35" i="24"/>
  <c r="F25" i="24"/>
  <c r="F15" i="24"/>
  <c r="F36" i="24"/>
  <c r="F17" i="24"/>
  <c r="F38" i="24"/>
  <c r="F89" i="24"/>
  <c r="F87" i="24"/>
  <c r="F77" i="24"/>
  <c r="F23" i="24"/>
  <c r="F54" i="24"/>
  <c r="F80" i="24"/>
  <c r="F93" i="24"/>
  <c r="F79" i="24"/>
  <c r="F27" i="24"/>
  <c r="F42" i="24"/>
  <c r="F40" i="24"/>
  <c r="F52" i="24"/>
  <c r="F67" i="24"/>
  <c r="F69" i="24"/>
  <c r="F24" i="24"/>
  <c r="F21" i="24"/>
  <c r="F53" i="24"/>
  <c r="F86" i="24"/>
  <c r="F91" i="24"/>
  <c r="F37" i="24"/>
  <c r="F94" i="24"/>
  <c r="F55" i="24"/>
  <c r="F85" i="24"/>
  <c r="F88" i="24"/>
  <c r="F41" i="24"/>
  <c r="F46" i="24"/>
  <c r="F78" i="24"/>
  <c r="F33" i="24"/>
  <c r="F92" i="24"/>
  <c r="F50" i="24"/>
  <c r="F82" i="24"/>
  <c r="F83" i="24"/>
  <c r="F58" i="24"/>
  <c r="F20" i="24"/>
  <c r="F25" i="27"/>
  <c r="E89" i="27"/>
  <c r="F59" i="24"/>
  <c r="F16" i="24"/>
  <c r="F90" i="24"/>
  <c r="F19" i="24"/>
  <c r="F45" i="24"/>
  <c r="F48" i="24"/>
  <c r="F47" i="24"/>
  <c r="F43" i="24"/>
  <c r="F30" i="24"/>
  <c r="F32" i="24"/>
  <c r="F62" i="24"/>
  <c r="F76" i="24"/>
  <c r="F39" i="24"/>
  <c r="F22" i="24"/>
  <c r="F29" i="24"/>
  <c r="F14" i="24"/>
  <c r="F31" i="24"/>
  <c r="F72" i="24"/>
  <c r="F61" i="24"/>
  <c r="F56" i="24"/>
  <c r="F44" i="24"/>
  <c r="F51" i="24"/>
  <c r="F49" i="24"/>
  <c r="F81" i="24"/>
  <c r="F18" i="24"/>
  <c r="F84" i="24"/>
  <c r="F34" i="24"/>
  <c r="F28" i="24"/>
  <c r="F26" i="24"/>
  <c r="F68" i="24"/>
  <c r="F73" i="24"/>
  <c r="D84" i="27"/>
  <c r="E28" i="27"/>
  <c r="F79" i="27"/>
  <c r="E79" i="27"/>
  <c r="E63" i="27"/>
  <c r="F86" i="27"/>
  <c r="J90" i="23"/>
  <c r="J44" i="23"/>
  <c r="J52" i="23"/>
  <c r="J79" i="23"/>
  <c r="J19" i="23"/>
  <c r="J51" i="23"/>
  <c r="J27" i="23"/>
  <c r="J67" i="23"/>
  <c r="J41" i="23"/>
  <c r="J42" i="23"/>
  <c r="J45" i="23"/>
  <c r="J48" i="23"/>
  <c r="J47" i="23"/>
  <c r="J43" i="23"/>
  <c r="J30" i="23"/>
  <c r="J32" i="23"/>
  <c r="J62" i="23"/>
  <c r="J76" i="23"/>
  <c r="J39" i="23"/>
  <c r="J22" i="23"/>
  <c r="J29" i="23"/>
  <c r="J33" i="23"/>
  <c r="J92" i="23"/>
  <c r="J50" i="23"/>
  <c r="J82" i="23"/>
  <c r="J83" i="23"/>
  <c r="J58" i="23"/>
  <c r="J20" i="23"/>
  <c r="J38" i="23"/>
  <c r="J31" i="23"/>
  <c r="J59" i="23"/>
  <c r="J40" i="23"/>
  <c r="J72" i="23"/>
  <c r="J37" i="23"/>
  <c r="J94" i="23"/>
  <c r="J89" i="23"/>
  <c r="J80" i="23"/>
  <c r="J61" i="23"/>
  <c r="J49" i="23"/>
  <c r="J81" i="23"/>
  <c r="J18" i="23"/>
  <c r="J84" i="23"/>
  <c r="J34" i="23"/>
  <c r="J28" i="23"/>
  <c r="J26" i="23"/>
  <c r="J68" i="23"/>
  <c r="J73" i="23"/>
  <c r="J55" i="23"/>
  <c r="J93" i="23"/>
  <c r="J85" i="23"/>
  <c r="J56" i="23"/>
  <c r="J87" i="23"/>
  <c r="J88" i="23"/>
  <c r="J16" i="23"/>
  <c r="J77" i="23"/>
  <c r="J23" i="23"/>
  <c r="J54" i="23"/>
  <c r="J74" i="23"/>
  <c r="J60" i="23"/>
  <c r="J57" i="23"/>
  <c r="J63" i="23"/>
  <c r="J35" i="23"/>
  <c r="J25" i="23"/>
  <c r="J15" i="23"/>
  <c r="J36" i="23"/>
  <c r="J17" i="23"/>
  <c r="J69" i="23"/>
  <c r="J24" i="23"/>
  <c r="J46" i="23"/>
  <c r="J21" i="23"/>
  <c r="J78" i="23"/>
  <c r="J53" i="23"/>
  <c r="J86" i="23"/>
  <c r="J91" i="23"/>
  <c r="D90" i="27"/>
  <c r="F59" i="27"/>
  <c r="D75" i="27"/>
  <c r="F53" i="27"/>
  <c r="E59" i="27"/>
  <c r="E75" i="27"/>
  <c r="F64" i="27"/>
  <c r="E64" i="27"/>
  <c r="E69" i="27"/>
  <c r="D69" i="27"/>
  <c r="F47" i="27"/>
  <c r="D47" i="27"/>
  <c r="F52" i="27"/>
  <c r="E52" i="27"/>
  <c r="F51" i="27"/>
  <c r="D42" i="27"/>
  <c r="E20" i="27"/>
  <c r="E26" i="27"/>
  <c r="F27" i="27"/>
  <c r="E81" i="27"/>
  <c r="D27" i="27"/>
  <c r="D24" i="27"/>
  <c r="F81" i="27"/>
  <c r="E24" i="27"/>
  <c r="D88" i="27"/>
  <c r="F38" i="27"/>
  <c r="F88" i="27"/>
  <c r="E42" i="27"/>
  <c r="D86" i="27"/>
  <c r="D63" i="27"/>
  <c r="E23" i="27"/>
  <c r="F69" i="27"/>
  <c r="F42" i="27"/>
  <c r="E36" i="27"/>
  <c r="D23" i="27"/>
  <c r="F49" i="27"/>
  <c r="F18" i="27"/>
  <c r="E86" i="27"/>
  <c r="F23" i="27"/>
  <c r="D49" i="27"/>
  <c r="D18" i="27"/>
  <c r="D25" i="27"/>
  <c r="D51" i="27"/>
  <c r="F20" i="27"/>
  <c r="E58" i="27"/>
  <c r="F16" i="27"/>
  <c r="F34" i="27"/>
  <c r="D82" i="27"/>
  <c r="F58" i="27"/>
  <c r="D95" i="27"/>
  <c r="D16" i="27"/>
  <c r="E34" i="27"/>
  <c r="D83" i="27"/>
  <c r="D57" i="27"/>
  <c r="F57" i="27"/>
  <c r="E38" i="27"/>
  <c r="E47" i="27"/>
  <c r="D20" i="27"/>
  <c r="D38" i="27"/>
  <c r="F83" i="27"/>
  <c r="D26" i="27"/>
  <c r="D48" i="27"/>
  <c r="D35" i="27"/>
  <c r="F41" i="27"/>
  <c r="O16" i="32"/>
  <c r="Q16" i="32" s="1"/>
  <c r="K16" i="32"/>
  <c r="M16" i="32" s="1"/>
  <c r="E13" i="39"/>
  <c r="C66" i="27"/>
  <c r="E66" i="27" s="1"/>
  <c r="C64" i="39"/>
  <c r="D64" i="39" s="1"/>
  <c r="E64" i="39" s="1"/>
  <c r="F56" i="20" s="1"/>
  <c r="C57" i="32"/>
  <c r="E57" i="32" s="1"/>
  <c r="O82" i="32"/>
  <c r="Q82" i="32" s="1"/>
  <c r="K82" i="32"/>
  <c r="M82" i="32" s="1"/>
  <c r="O36" i="32"/>
  <c r="Q36" i="32" s="1"/>
  <c r="K36" i="32"/>
  <c r="M36" i="32" s="1"/>
  <c r="O44" i="32"/>
  <c r="Q44" i="32" s="1"/>
  <c r="K44" i="32"/>
  <c r="M44" i="32" s="1"/>
  <c r="O71" i="32"/>
  <c r="Q71" i="32" s="1"/>
  <c r="K71" i="32"/>
  <c r="M71" i="32" s="1"/>
  <c r="O11" i="32"/>
  <c r="Q11" i="32" s="1"/>
  <c r="K11" i="32"/>
  <c r="M11" i="32" s="1"/>
  <c r="O43" i="32"/>
  <c r="Q43" i="32" s="1"/>
  <c r="K43" i="32"/>
  <c r="M43" i="32" s="1"/>
  <c r="O19" i="32"/>
  <c r="Q19" i="32" s="1"/>
  <c r="K19" i="32"/>
  <c r="M19" i="32" s="1"/>
  <c r="O59" i="32"/>
  <c r="Q59" i="32" s="1"/>
  <c r="K59" i="32"/>
  <c r="M59" i="32" s="1"/>
  <c r="O33" i="32"/>
  <c r="Q33" i="32" s="1"/>
  <c r="K33" i="32"/>
  <c r="M33" i="32" s="1"/>
  <c r="O34" i="32"/>
  <c r="Q34" i="32" s="1"/>
  <c r="K34" i="32"/>
  <c r="M34" i="32" s="1"/>
  <c r="F21" i="27"/>
  <c r="D34" i="27"/>
  <c r="F50" i="27"/>
  <c r="F84" i="27"/>
  <c r="D53" i="27"/>
  <c r="E41" i="27"/>
  <c r="F35" i="27"/>
  <c r="F28" i="27"/>
  <c r="O37" i="32"/>
  <c r="Q37" i="32" s="1"/>
  <c r="K37" i="32"/>
  <c r="M37" i="32" s="1"/>
  <c r="O40" i="32"/>
  <c r="Q40" i="32" s="1"/>
  <c r="K40" i="32"/>
  <c r="M40" i="32" s="1"/>
  <c r="O39" i="32"/>
  <c r="Q39" i="32" s="1"/>
  <c r="K39" i="32"/>
  <c r="M39" i="32" s="1"/>
  <c r="O35" i="32"/>
  <c r="Q35" i="32" s="1"/>
  <c r="K35" i="32"/>
  <c r="M35" i="32" s="1"/>
  <c r="O22" i="32"/>
  <c r="Q22" i="32" s="1"/>
  <c r="K22" i="32"/>
  <c r="M22" i="32" s="1"/>
  <c r="O24" i="32"/>
  <c r="Q24" i="32" s="1"/>
  <c r="K24" i="32"/>
  <c r="M24" i="32" s="1"/>
  <c r="O54" i="32"/>
  <c r="Q54" i="32" s="1"/>
  <c r="K54" i="32"/>
  <c r="M54" i="32" s="1"/>
  <c r="O68" i="32"/>
  <c r="Q68" i="32" s="1"/>
  <c r="K68" i="32"/>
  <c r="M68" i="32" s="1"/>
  <c r="O31" i="32"/>
  <c r="Q31" i="32" s="1"/>
  <c r="K31" i="32"/>
  <c r="M31" i="32" s="1"/>
  <c r="O14" i="32"/>
  <c r="Q14" i="32" s="1"/>
  <c r="K14" i="32"/>
  <c r="M14" i="32" s="1"/>
  <c r="O21" i="32"/>
  <c r="Q21" i="32" s="1"/>
  <c r="K21" i="32"/>
  <c r="M21" i="32" s="1"/>
  <c r="K6" i="32"/>
  <c r="M6" i="32" s="1"/>
  <c r="E50" i="27"/>
  <c r="E84" i="27"/>
  <c r="F40" i="27"/>
  <c r="D28" i="27"/>
  <c r="D36" i="27"/>
  <c r="E68" i="27"/>
  <c r="F55" i="27"/>
  <c r="O78" i="32"/>
  <c r="Q78" i="32" s="1"/>
  <c r="K78" i="32"/>
  <c r="M78" i="32" s="1"/>
  <c r="C65" i="27"/>
  <c r="D65" i="27" s="1"/>
  <c r="C56" i="32"/>
  <c r="E56" i="32" s="1"/>
  <c r="C63" i="39"/>
  <c r="D63" i="39" s="1"/>
  <c r="E63" i="39" s="1"/>
  <c r="F55" i="20" s="1"/>
  <c r="O25" i="32"/>
  <c r="Q25" i="32" s="1"/>
  <c r="K25" i="32"/>
  <c r="M25" i="32" s="1"/>
  <c r="D50" i="27"/>
  <c r="F68" i="27"/>
  <c r="O13" i="32"/>
  <c r="Q13" i="32" s="1"/>
  <c r="K13" i="32"/>
  <c r="M13" i="32" s="1"/>
  <c r="O83" i="32"/>
  <c r="Q83" i="32" s="1"/>
  <c r="K83" i="32"/>
  <c r="M83" i="32" s="1"/>
  <c r="O84" i="32"/>
  <c r="Q84" i="32" s="1"/>
  <c r="K84" i="32"/>
  <c r="M84" i="32" s="1"/>
  <c r="O42" i="32"/>
  <c r="Q42" i="32" s="1"/>
  <c r="K42" i="32"/>
  <c r="M42" i="32" s="1"/>
  <c r="O74" i="32"/>
  <c r="Q74" i="32" s="1"/>
  <c r="K74" i="32"/>
  <c r="M74" i="32" s="1"/>
  <c r="O75" i="32"/>
  <c r="Q75" i="32" s="1"/>
  <c r="K75" i="32"/>
  <c r="M75" i="32" s="1"/>
  <c r="O50" i="32"/>
  <c r="Q50" i="32" s="1"/>
  <c r="K50" i="32"/>
  <c r="M50" i="32" s="1"/>
  <c r="O30" i="32"/>
  <c r="Q30" i="32" s="1"/>
  <c r="K30" i="32"/>
  <c r="M30" i="32" s="1"/>
  <c r="O23" i="32"/>
  <c r="Q23" i="32" s="1"/>
  <c r="K23" i="32"/>
  <c r="M23" i="32" s="1"/>
  <c r="O51" i="32"/>
  <c r="Q51" i="32" s="1"/>
  <c r="K51" i="32"/>
  <c r="M51" i="32" s="1"/>
  <c r="O32" i="32"/>
  <c r="Q32" i="32" s="1"/>
  <c r="K32" i="32"/>
  <c r="M32" i="32" s="1"/>
  <c r="O64" i="32"/>
  <c r="Q64" i="32" s="1"/>
  <c r="K64" i="32"/>
  <c r="M64" i="32" s="1"/>
  <c r="O29" i="32"/>
  <c r="Q29" i="32" s="1"/>
  <c r="K29" i="32"/>
  <c r="M29" i="32" s="1"/>
  <c r="O86" i="32"/>
  <c r="Q86" i="32" s="1"/>
  <c r="K86" i="32"/>
  <c r="M86" i="32" s="1"/>
  <c r="O81" i="32"/>
  <c r="Q81" i="32" s="1"/>
  <c r="K81" i="32"/>
  <c r="M81" i="32" s="1"/>
  <c r="O72" i="32"/>
  <c r="Q72" i="32" s="1"/>
  <c r="K72" i="32"/>
  <c r="M72" i="32" s="1"/>
  <c r="O53" i="32"/>
  <c r="Q53" i="32" s="1"/>
  <c r="K53" i="32"/>
  <c r="M53" i="32" s="1"/>
  <c r="F80" i="27"/>
  <c r="F46" i="27"/>
  <c r="E93" i="27"/>
  <c r="E31" i="27"/>
  <c r="O12" i="32"/>
  <c r="Q12" i="32" s="1"/>
  <c r="K12" i="32"/>
  <c r="M12" i="32" s="1"/>
  <c r="C71" i="27"/>
  <c r="F71" i="27" s="1"/>
  <c r="C62" i="32"/>
  <c r="E62" i="32" s="1"/>
  <c r="C69" i="39"/>
  <c r="D69" i="39" s="1"/>
  <c r="E69" i="39" s="1"/>
  <c r="F61" i="20" s="1"/>
  <c r="O41" i="32"/>
  <c r="Q41" i="32" s="1"/>
  <c r="K41" i="32"/>
  <c r="M41" i="32" s="1"/>
  <c r="O73" i="32"/>
  <c r="Q73" i="32" s="1"/>
  <c r="K73" i="32"/>
  <c r="M73" i="32" s="1"/>
  <c r="O10" i="32"/>
  <c r="Q10" i="32" s="1"/>
  <c r="K10" i="32"/>
  <c r="M10" i="32" s="1"/>
  <c r="O76" i="32"/>
  <c r="Q76" i="32" s="1"/>
  <c r="K76" i="32"/>
  <c r="M76" i="32" s="1"/>
  <c r="O26" i="32"/>
  <c r="Q26" i="32" s="1"/>
  <c r="K26" i="32"/>
  <c r="M26" i="32" s="1"/>
  <c r="O20" i="32"/>
  <c r="Q20" i="32" s="1"/>
  <c r="K20" i="32"/>
  <c r="M20" i="32" s="1"/>
  <c r="O18" i="32"/>
  <c r="Q18" i="32" s="1"/>
  <c r="K18" i="32"/>
  <c r="M18" i="32" s="1"/>
  <c r="O60" i="32"/>
  <c r="Q60" i="32" s="1"/>
  <c r="K60" i="32"/>
  <c r="M60" i="32" s="1"/>
  <c r="O65" i="32"/>
  <c r="Q65" i="32" s="1"/>
  <c r="K65" i="32"/>
  <c r="M65" i="32" s="1"/>
  <c r="C67" i="27"/>
  <c r="E67" i="27" s="1"/>
  <c r="C65" i="39"/>
  <c r="D65" i="39" s="1"/>
  <c r="E65" i="39" s="1"/>
  <c r="F57" i="20" s="1"/>
  <c r="C58" i="32"/>
  <c r="E58" i="32" s="1"/>
  <c r="D43" i="27"/>
  <c r="F92" i="27"/>
  <c r="E80" i="27"/>
  <c r="E46" i="27"/>
  <c r="E17" i="27"/>
  <c r="E82" i="27"/>
  <c r="D85" i="27"/>
  <c r="D31" i="27"/>
  <c r="E73" i="27"/>
  <c r="F29" i="27"/>
  <c r="E44" i="27"/>
  <c r="O61" i="32"/>
  <c r="Q61" i="32" s="1"/>
  <c r="K61" i="32"/>
  <c r="M61" i="32" s="1"/>
  <c r="O70" i="32"/>
  <c r="Q70" i="32" s="1"/>
  <c r="K70" i="32"/>
  <c r="M70" i="32" s="1"/>
  <c r="O45" i="32"/>
  <c r="Q45" i="32" s="1"/>
  <c r="K45" i="32"/>
  <c r="M45" i="32" s="1"/>
  <c r="O47" i="32"/>
  <c r="Q47" i="32" s="1"/>
  <c r="K47" i="32"/>
  <c r="M47" i="32" s="1"/>
  <c r="O85" i="32"/>
  <c r="Q85" i="32" s="1"/>
  <c r="K85" i="32"/>
  <c r="M85" i="32" s="1"/>
  <c r="O77" i="32"/>
  <c r="Q77" i="32" s="1"/>
  <c r="K77" i="32"/>
  <c r="M77" i="32" s="1"/>
  <c r="O48" i="32"/>
  <c r="Q48" i="32" s="1"/>
  <c r="K48" i="32"/>
  <c r="M48" i="32" s="1"/>
  <c r="O79" i="32"/>
  <c r="Q79" i="32" s="1"/>
  <c r="K79" i="32"/>
  <c r="M79" i="32" s="1"/>
  <c r="O80" i="32"/>
  <c r="Q80" i="32" s="1"/>
  <c r="K80" i="32"/>
  <c r="M80" i="32" s="1"/>
  <c r="O8" i="32"/>
  <c r="Q8" i="32" s="1"/>
  <c r="K8" i="32"/>
  <c r="M8" i="32" s="1"/>
  <c r="O69" i="32"/>
  <c r="Q69" i="32" s="1"/>
  <c r="K69" i="32"/>
  <c r="M69" i="32" s="1"/>
  <c r="O15" i="32"/>
  <c r="Q15" i="32" s="1"/>
  <c r="K15" i="32"/>
  <c r="M15" i="32" s="1"/>
  <c r="O46" i="32"/>
  <c r="Q46" i="32" s="1"/>
  <c r="K46" i="32"/>
  <c r="M46" i="32" s="1"/>
  <c r="C76" i="27"/>
  <c r="F76" i="27" s="1"/>
  <c r="C74" i="39"/>
  <c r="D74" i="39" s="1"/>
  <c r="E74" i="39" s="1"/>
  <c r="F66" i="20" s="1"/>
  <c r="C67" i="32"/>
  <c r="E67" i="32" s="1"/>
  <c r="F43" i="27"/>
  <c r="E92" i="27"/>
  <c r="F73" i="27"/>
  <c r="E29" i="27"/>
  <c r="D44" i="27"/>
  <c r="O38" i="32"/>
  <c r="Q38" i="32" s="1"/>
  <c r="K38" i="32"/>
  <c r="M38" i="32" s="1"/>
  <c r="C72" i="27"/>
  <c r="C63" i="32"/>
  <c r="E63" i="32" s="1"/>
  <c r="C70" i="39"/>
  <c r="D70" i="39" s="1"/>
  <c r="E70" i="39" s="1"/>
  <c r="F62" i="20" s="1"/>
  <c r="O66" i="32"/>
  <c r="Q66" i="32" s="1"/>
  <c r="K66" i="32"/>
  <c r="M66" i="32" s="1"/>
  <c r="O52" i="32"/>
  <c r="Q52" i="32" s="1"/>
  <c r="K52" i="32"/>
  <c r="M52" i="32" s="1"/>
  <c r="O49" i="32"/>
  <c r="Q49" i="32" s="1"/>
  <c r="K49" i="32"/>
  <c r="M49" i="32" s="1"/>
  <c r="O55" i="32"/>
  <c r="Q55" i="32" s="1"/>
  <c r="K55" i="32"/>
  <c r="M55" i="32" s="1"/>
  <c r="O27" i="32"/>
  <c r="Q27" i="32" s="1"/>
  <c r="K27" i="32"/>
  <c r="M27" i="32" s="1"/>
  <c r="O17" i="32"/>
  <c r="Q17" i="32" s="1"/>
  <c r="K17" i="32"/>
  <c r="M17" i="32" s="1"/>
  <c r="O7" i="32"/>
  <c r="K7" i="32"/>
  <c r="O28" i="32"/>
  <c r="Q28" i="32" s="1"/>
  <c r="K28" i="32"/>
  <c r="M28" i="32" s="1"/>
  <c r="O9" i="32"/>
  <c r="Q9" i="32" s="1"/>
  <c r="K9" i="32"/>
  <c r="M9" i="32" s="1"/>
  <c r="D92" i="24"/>
  <c r="D45" i="24"/>
  <c r="D30" i="24"/>
  <c r="G30" i="24" s="1"/>
  <c r="D62" i="24"/>
  <c r="D76" i="24"/>
  <c r="D39" i="24"/>
  <c r="D58" i="24"/>
  <c r="G58" i="24" s="1"/>
  <c r="D18" i="24"/>
  <c r="D28" i="24"/>
  <c r="D26" i="24"/>
  <c r="D33" i="24"/>
  <c r="D38" i="24"/>
  <c r="D31" i="24"/>
  <c r="D59" i="24"/>
  <c r="D37" i="24"/>
  <c r="D94" i="24"/>
  <c r="D61" i="24"/>
  <c r="D82" i="24"/>
  <c r="D25" i="24"/>
  <c r="D83" i="24"/>
  <c r="D56" i="24"/>
  <c r="D88" i="24"/>
  <c r="D23" i="24"/>
  <c r="D54" i="24"/>
  <c r="D20" i="24"/>
  <c r="D60" i="24"/>
  <c r="D52" i="24"/>
  <c r="D79" i="24"/>
  <c r="D67" i="24"/>
  <c r="D41" i="24"/>
  <c r="D42" i="24"/>
  <c r="D24" i="24"/>
  <c r="D21" i="24"/>
  <c r="D53" i="24"/>
  <c r="D86" i="24"/>
  <c r="D91" i="24"/>
  <c r="C67" i="25"/>
  <c r="C75" i="26"/>
  <c r="F75" i="26" s="1"/>
  <c r="N76" i="9"/>
  <c r="C75" i="23"/>
  <c r="C76" i="25"/>
  <c r="H33" i="26"/>
  <c r="J33" i="26"/>
  <c r="H45" i="26"/>
  <c r="J45" i="26"/>
  <c r="H72" i="26"/>
  <c r="J72" i="26"/>
  <c r="H44" i="26"/>
  <c r="J44" i="26"/>
  <c r="H18" i="26"/>
  <c r="J18" i="26"/>
  <c r="H81" i="26"/>
  <c r="J81" i="26"/>
  <c r="H34" i="26"/>
  <c r="J34" i="26"/>
  <c r="H79" i="26"/>
  <c r="J79" i="26"/>
  <c r="H84" i="26"/>
  <c r="J84" i="26"/>
  <c r="H28" i="26"/>
  <c r="J28" i="26"/>
  <c r="H73" i="26"/>
  <c r="J73" i="26"/>
  <c r="H68" i="26"/>
  <c r="J68" i="26"/>
  <c r="H94" i="26"/>
  <c r="J94" i="26"/>
  <c r="H27" i="26"/>
  <c r="J27" i="26"/>
  <c r="H48" i="26"/>
  <c r="J48" i="26"/>
  <c r="H32" i="26"/>
  <c r="J32" i="26"/>
  <c r="H36" i="26"/>
  <c r="J36" i="26"/>
  <c r="H42" i="26"/>
  <c r="J42" i="26"/>
  <c r="H38" i="26"/>
  <c r="J38" i="26"/>
  <c r="H31" i="26"/>
  <c r="J31" i="26"/>
  <c r="H49" i="26"/>
  <c r="J49" i="26"/>
  <c r="H82" i="26"/>
  <c r="J82" i="26"/>
  <c r="H93" i="26"/>
  <c r="J93" i="26"/>
  <c r="H24" i="26"/>
  <c r="J24" i="26"/>
  <c r="H46" i="26"/>
  <c r="J46" i="26"/>
  <c r="H78" i="26"/>
  <c r="J78" i="26"/>
  <c r="H40" i="26"/>
  <c r="J40" i="26"/>
  <c r="H19" i="26"/>
  <c r="J19" i="26"/>
  <c r="H87" i="26"/>
  <c r="J87" i="26"/>
  <c r="H25" i="26"/>
  <c r="J25" i="26"/>
  <c r="H77" i="26"/>
  <c r="J77" i="26"/>
  <c r="H23" i="26"/>
  <c r="J23" i="26"/>
  <c r="H21" i="26"/>
  <c r="J21" i="26"/>
  <c r="H43" i="26"/>
  <c r="J43" i="26"/>
  <c r="H59" i="26"/>
  <c r="J59" i="26"/>
  <c r="H58" i="26"/>
  <c r="J58" i="26"/>
  <c r="H80" i="26"/>
  <c r="J80" i="26"/>
  <c r="H74" i="26"/>
  <c r="J74" i="26"/>
  <c r="H55" i="26"/>
  <c r="J55" i="26"/>
  <c r="H60" i="26"/>
  <c r="J60" i="26"/>
  <c r="H62" i="26"/>
  <c r="J62" i="26"/>
  <c r="H52" i="26"/>
  <c r="J52" i="26"/>
  <c r="H92" i="26"/>
  <c r="J92" i="26"/>
  <c r="H56" i="26"/>
  <c r="J56" i="26"/>
  <c r="H51" i="26"/>
  <c r="J51" i="26"/>
  <c r="H63" i="26"/>
  <c r="J63" i="26"/>
  <c r="H35" i="26"/>
  <c r="J35" i="26"/>
  <c r="H88" i="26"/>
  <c r="J88" i="26"/>
  <c r="H67" i="26"/>
  <c r="J67" i="26"/>
  <c r="H41" i="26"/>
  <c r="J41" i="26"/>
  <c r="H53" i="26"/>
  <c r="J53" i="26"/>
  <c r="H89" i="26"/>
  <c r="J89" i="26"/>
  <c r="H54" i="26"/>
  <c r="J54" i="26"/>
  <c r="H15" i="26"/>
  <c r="J15" i="26"/>
  <c r="H61" i="26"/>
  <c r="J61" i="26"/>
  <c r="H86" i="26"/>
  <c r="J86" i="26"/>
  <c r="H69" i="26"/>
  <c r="J69" i="26"/>
  <c r="H90" i="26"/>
  <c r="J90" i="26"/>
  <c r="H20" i="26"/>
  <c r="J20" i="26"/>
  <c r="H47" i="26"/>
  <c r="J47" i="26"/>
  <c r="H85" i="26"/>
  <c r="J85" i="26"/>
  <c r="H30" i="26"/>
  <c r="J30" i="26"/>
  <c r="H16" i="26"/>
  <c r="J16" i="26"/>
  <c r="H50" i="26"/>
  <c r="J50" i="26"/>
  <c r="H37" i="26"/>
  <c r="J37" i="26"/>
  <c r="H57" i="26"/>
  <c r="J57" i="26"/>
  <c r="H39" i="26"/>
  <c r="J39" i="26"/>
  <c r="H83" i="26"/>
  <c r="J83" i="26"/>
  <c r="H22" i="26"/>
  <c r="J22" i="26"/>
  <c r="H76" i="26"/>
  <c r="J76" i="26"/>
  <c r="H26" i="26"/>
  <c r="J26" i="26"/>
  <c r="H29" i="26"/>
  <c r="J29" i="26"/>
  <c r="H91" i="26"/>
  <c r="J91" i="26"/>
  <c r="H17" i="26"/>
  <c r="J17" i="26"/>
  <c r="C66" i="26"/>
  <c r="F66" i="26" s="1"/>
  <c r="N67" i="9"/>
  <c r="C66" i="23"/>
  <c r="C66" i="25"/>
  <c r="C65" i="26"/>
  <c r="F65" i="26" s="1"/>
  <c r="C65" i="25"/>
  <c r="C64" i="26"/>
  <c r="F64" i="26" s="1"/>
  <c r="C71" i="25"/>
  <c r="C70" i="26"/>
  <c r="F70" i="26" s="1"/>
  <c r="C72" i="25"/>
  <c r="C71" i="26"/>
  <c r="F71" i="26" s="1"/>
  <c r="C70" i="23"/>
  <c r="C65" i="23"/>
  <c r="C64" i="23"/>
  <c r="C71" i="23"/>
  <c r="M65" i="9"/>
  <c r="N65" i="9" s="1"/>
  <c r="M66" i="9"/>
  <c r="N66" i="9" s="1"/>
  <c r="M71" i="9"/>
  <c r="N71" i="9" s="1"/>
  <c r="M72" i="9"/>
  <c r="N72" i="9" s="1"/>
  <c r="L96" i="9"/>
  <c r="K96" i="9"/>
  <c r="J39" i="27" l="1"/>
  <c r="E31" i="37" s="1"/>
  <c r="C87" i="32"/>
  <c r="J87" i="27"/>
  <c r="E48" i="25"/>
  <c r="H48" i="25" s="1"/>
  <c r="E38" i="20" s="1"/>
  <c r="W39" i="32"/>
  <c r="Y39" i="32" s="1"/>
  <c r="E54" i="25"/>
  <c r="H54" i="25" s="1"/>
  <c r="E44" i="20" s="1"/>
  <c r="W45" i="32"/>
  <c r="Y45" i="32" s="1"/>
  <c r="E78" i="25"/>
  <c r="H78" i="25" s="1"/>
  <c r="E68" i="20" s="1"/>
  <c r="W69" i="32"/>
  <c r="Y69" i="32" s="1"/>
  <c r="E41" i="25"/>
  <c r="H41" i="25" s="1"/>
  <c r="E31" i="20" s="1"/>
  <c r="W32" i="32"/>
  <c r="Y32" i="32" s="1"/>
  <c r="E94" i="25"/>
  <c r="H94" i="25" s="1"/>
  <c r="E84" i="20" s="1"/>
  <c r="W85" i="32"/>
  <c r="Y85" i="32" s="1"/>
  <c r="E18" i="25"/>
  <c r="H18" i="25" s="1"/>
  <c r="E8" i="20" s="1"/>
  <c r="W9" i="32"/>
  <c r="Y9" i="32" s="1"/>
  <c r="E64" i="25"/>
  <c r="H64" i="25" s="1"/>
  <c r="E54" i="20" s="1"/>
  <c r="W55" i="32"/>
  <c r="Y55" i="32" s="1"/>
  <c r="E80" i="25"/>
  <c r="H80" i="25" s="1"/>
  <c r="E70" i="20" s="1"/>
  <c r="W71" i="32"/>
  <c r="Y71" i="32" s="1"/>
  <c r="E87" i="25"/>
  <c r="H87" i="25" s="1"/>
  <c r="E77" i="20" s="1"/>
  <c r="W78" i="32"/>
  <c r="Y78" i="32" s="1"/>
  <c r="E63" i="25"/>
  <c r="H63" i="25" s="1"/>
  <c r="E53" i="20" s="1"/>
  <c r="W54" i="32"/>
  <c r="Y54" i="32" s="1"/>
  <c r="E40" i="25"/>
  <c r="H40" i="25" s="1"/>
  <c r="E30" i="20" s="1"/>
  <c r="W31" i="32"/>
  <c r="Y31" i="32" s="1"/>
  <c r="E17" i="25"/>
  <c r="H17" i="25" s="1"/>
  <c r="E7" i="20" s="1"/>
  <c r="W8" i="32"/>
  <c r="Y8" i="32" s="1"/>
  <c r="E81" i="25"/>
  <c r="H81" i="25" s="1"/>
  <c r="E71" i="20" s="1"/>
  <c r="W72" i="32"/>
  <c r="Y72" i="32" s="1"/>
  <c r="E22" i="25"/>
  <c r="H22" i="25" s="1"/>
  <c r="E12" i="20" s="1"/>
  <c r="W13" i="32"/>
  <c r="Y13" i="32" s="1"/>
  <c r="E75" i="25"/>
  <c r="H75" i="25" s="1"/>
  <c r="E65" i="20" s="1"/>
  <c r="W66" i="32"/>
  <c r="Y66" i="32" s="1"/>
  <c r="E26" i="25"/>
  <c r="H26" i="25" s="1"/>
  <c r="E16" i="20" s="1"/>
  <c r="W17" i="32"/>
  <c r="Y17" i="32" s="1"/>
  <c r="E92" i="25"/>
  <c r="H92" i="25" s="1"/>
  <c r="E82" i="20" s="1"/>
  <c r="W83" i="32"/>
  <c r="Y83" i="32" s="1"/>
  <c r="E74" i="25"/>
  <c r="H74" i="25" s="1"/>
  <c r="E64" i="20" s="1"/>
  <c r="W65" i="32"/>
  <c r="Y65" i="32" s="1"/>
  <c r="E52" i="25"/>
  <c r="H52" i="25" s="1"/>
  <c r="E42" i="20" s="1"/>
  <c r="W43" i="32"/>
  <c r="Y43" i="32" s="1"/>
  <c r="E61" i="25"/>
  <c r="H61" i="25" s="1"/>
  <c r="E51" i="20" s="1"/>
  <c r="W52" i="32"/>
  <c r="Y52" i="32" s="1"/>
  <c r="E59" i="25"/>
  <c r="H59" i="25" s="1"/>
  <c r="E49" i="20" s="1"/>
  <c r="W50" i="32"/>
  <c r="Y50" i="32" s="1"/>
  <c r="E93" i="25"/>
  <c r="H93" i="25" s="1"/>
  <c r="E83" i="20" s="1"/>
  <c r="W84" i="32"/>
  <c r="Y84" i="32" s="1"/>
  <c r="E44" i="25"/>
  <c r="H44" i="25" s="1"/>
  <c r="E34" i="20" s="1"/>
  <c r="W35" i="32"/>
  <c r="Y35" i="32" s="1"/>
  <c r="E57" i="25"/>
  <c r="H57" i="25" s="1"/>
  <c r="E47" i="20" s="1"/>
  <c r="W48" i="32"/>
  <c r="Y48" i="32" s="1"/>
  <c r="E79" i="25"/>
  <c r="H79" i="25" s="1"/>
  <c r="E69" i="20" s="1"/>
  <c r="W70" i="32"/>
  <c r="Y70" i="32" s="1"/>
  <c r="E83" i="25"/>
  <c r="H83" i="25" s="1"/>
  <c r="E73" i="20" s="1"/>
  <c r="W74" i="32"/>
  <c r="Y74" i="32" s="1"/>
  <c r="E89" i="25"/>
  <c r="H89" i="25" s="1"/>
  <c r="E79" i="20" s="1"/>
  <c r="W80" i="32"/>
  <c r="Y80" i="32" s="1"/>
  <c r="E32" i="25"/>
  <c r="H32" i="25" s="1"/>
  <c r="E22" i="20" s="1"/>
  <c r="W23" i="32"/>
  <c r="Y23" i="32" s="1"/>
  <c r="E35" i="25"/>
  <c r="H35" i="25" s="1"/>
  <c r="E25" i="20" s="1"/>
  <c r="W26" i="32"/>
  <c r="Y26" i="32" s="1"/>
  <c r="E73" i="25"/>
  <c r="H73" i="25" s="1"/>
  <c r="E63" i="20" s="1"/>
  <c r="W64" i="32"/>
  <c r="Y64" i="32" s="1"/>
  <c r="E62" i="25"/>
  <c r="H62" i="25" s="1"/>
  <c r="E52" i="20" s="1"/>
  <c r="W53" i="32"/>
  <c r="Y53" i="32" s="1"/>
  <c r="E33" i="25"/>
  <c r="H33" i="25" s="1"/>
  <c r="E23" i="20" s="1"/>
  <c r="W24" i="32"/>
  <c r="Y24" i="32" s="1"/>
  <c r="E58" i="25"/>
  <c r="H58" i="25" s="1"/>
  <c r="E48" i="20" s="1"/>
  <c r="W49" i="32"/>
  <c r="Y49" i="32" s="1"/>
  <c r="E31" i="25"/>
  <c r="H31" i="25" s="1"/>
  <c r="E21" i="20" s="1"/>
  <c r="W22" i="32"/>
  <c r="Y22" i="32" s="1"/>
  <c r="E68" i="25"/>
  <c r="H68" i="25" s="1"/>
  <c r="E58" i="20" s="1"/>
  <c r="W59" i="32"/>
  <c r="Y59" i="32" s="1"/>
  <c r="E19" i="25"/>
  <c r="H19" i="25" s="1"/>
  <c r="E9" i="20" s="1"/>
  <c r="W10" i="32"/>
  <c r="Y10" i="32" s="1"/>
  <c r="E51" i="25"/>
  <c r="H51" i="25" s="1"/>
  <c r="E41" i="20" s="1"/>
  <c r="W42" i="32"/>
  <c r="Y42" i="32" s="1"/>
  <c r="E20" i="25"/>
  <c r="H20" i="25" s="1"/>
  <c r="E10" i="20" s="1"/>
  <c r="W11" i="32"/>
  <c r="Y11" i="32" s="1"/>
  <c r="E34" i="25"/>
  <c r="H34" i="25" s="1"/>
  <c r="E24" i="20" s="1"/>
  <c r="W25" i="32"/>
  <c r="Y25" i="32" s="1"/>
  <c r="E27" i="25"/>
  <c r="H27" i="25" s="1"/>
  <c r="E17" i="20" s="1"/>
  <c r="W18" i="32"/>
  <c r="Y18" i="32" s="1"/>
  <c r="E95" i="25"/>
  <c r="H95" i="25" s="1"/>
  <c r="E85" i="20" s="1"/>
  <c r="W86" i="32"/>
  <c r="Y86" i="32" s="1"/>
  <c r="E70" i="25"/>
  <c r="H70" i="25" s="1"/>
  <c r="E60" i="20" s="1"/>
  <c r="W61" i="32"/>
  <c r="Y61" i="32" s="1"/>
  <c r="E84" i="25"/>
  <c r="H84" i="25" s="1"/>
  <c r="E74" i="20" s="1"/>
  <c r="W75" i="32"/>
  <c r="Y75" i="32" s="1"/>
  <c r="E77" i="25"/>
  <c r="H77" i="25" s="1"/>
  <c r="E67" i="20" s="1"/>
  <c r="W68" i="32"/>
  <c r="Y68" i="32" s="1"/>
  <c r="E45" i="25"/>
  <c r="H45" i="25" s="1"/>
  <c r="E35" i="20" s="1"/>
  <c r="W36" i="32"/>
  <c r="Y36" i="32" s="1"/>
  <c r="E42" i="25"/>
  <c r="H42" i="25" s="1"/>
  <c r="E32" i="20" s="1"/>
  <c r="W33" i="32"/>
  <c r="Y33" i="32" s="1"/>
  <c r="E50" i="25"/>
  <c r="H50" i="25" s="1"/>
  <c r="E40" i="20" s="1"/>
  <c r="W41" i="32"/>
  <c r="Y41" i="32" s="1"/>
  <c r="E28" i="25"/>
  <c r="H28" i="25" s="1"/>
  <c r="E18" i="20" s="1"/>
  <c r="W19" i="32"/>
  <c r="Y19" i="32" s="1"/>
  <c r="E29" i="25"/>
  <c r="H29" i="25" s="1"/>
  <c r="E19" i="20" s="1"/>
  <c r="W20" i="32"/>
  <c r="Y20" i="32" s="1"/>
  <c r="E82" i="25"/>
  <c r="H82" i="25" s="1"/>
  <c r="E72" i="20" s="1"/>
  <c r="W73" i="32"/>
  <c r="Y73" i="32" s="1"/>
  <c r="E91" i="25"/>
  <c r="H91" i="25" s="1"/>
  <c r="E81" i="20" s="1"/>
  <c r="W82" i="32"/>
  <c r="Y82" i="32" s="1"/>
  <c r="E37" i="25"/>
  <c r="H37" i="25" s="1"/>
  <c r="E27" i="20" s="1"/>
  <c r="W28" i="32"/>
  <c r="Y28" i="32" s="1"/>
  <c r="E60" i="25"/>
  <c r="H60" i="25" s="1"/>
  <c r="E50" i="20" s="1"/>
  <c r="W51" i="32"/>
  <c r="Y51" i="32" s="1"/>
  <c r="E53" i="25"/>
  <c r="H53" i="25" s="1"/>
  <c r="E43" i="20" s="1"/>
  <c r="W44" i="32"/>
  <c r="Y44" i="32" s="1"/>
  <c r="E85" i="25"/>
  <c r="H85" i="25" s="1"/>
  <c r="E75" i="20" s="1"/>
  <c r="W76" i="32"/>
  <c r="Y76" i="32" s="1"/>
  <c r="E36" i="25"/>
  <c r="H36" i="25" s="1"/>
  <c r="E26" i="20" s="1"/>
  <c r="W27" i="32"/>
  <c r="Y27" i="32" s="1"/>
  <c r="E24" i="25"/>
  <c r="H24" i="25" s="1"/>
  <c r="E14" i="20" s="1"/>
  <c r="W15" i="32"/>
  <c r="Y15" i="32" s="1"/>
  <c r="E25" i="25"/>
  <c r="H25" i="25" s="1"/>
  <c r="E15" i="20" s="1"/>
  <c r="W16" i="32"/>
  <c r="Y16" i="32" s="1"/>
  <c r="E15" i="25"/>
  <c r="H15" i="25" s="1"/>
  <c r="E5" i="20" s="1"/>
  <c r="W6" i="32"/>
  <c r="E55" i="25"/>
  <c r="H55" i="25" s="1"/>
  <c r="E45" i="20" s="1"/>
  <c r="W46" i="32"/>
  <c r="Y46" i="32" s="1"/>
  <c r="E43" i="25"/>
  <c r="H43" i="25" s="1"/>
  <c r="E33" i="20" s="1"/>
  <c r="W34" i="32"/>
  <c r="Y34" i="32" s="1"/>
  <c r="E69" i="25"/>
  <c r="H69" i="25" s="1"/>
  <c r="E59" i="20" s="1"/>
  <c r="W60" i="32"/>
  <c r="Y60" i="32" s="1"/>
  <c r="E90" i="25"/>
  <c r="H90" i="25" s="1"/>
  <c r="E80" i="20" s="1"/>
  <c r="W81" i="32"/>
  <c r="Y81" i="32" s="1"/>
  <c r="E21" i="25"/>
  <c r="H21" i="25" s="1"/>
  <c r="E11" i="20" s="1"/>
  <c r="W12" i="32"/>
  <c r="Y12" i="32" s="1"/>
  <c r="E39" i="25"/>
  <c r="H39" i="25" s="1"/>
  <c r="E29" i="20" s="1"/>
  <c r="W30" i="32"/>
  <c r="Y30" i="32" s="1"/>
  <c r="E88" i="25"/>
  <c r="H88" i="25" s="1"/>
  <c r="E78" i="20" s="1"/>
  <c r="W79" i="32"/>
  <c r="Y79" i="32" s="1"/>
  <c r="E47" i="25"/>
  <c r="H47" i="25" s="1"/>
  <c r="E37" i="20" s="1"/>
  <c r="W38" i="32"/>
  <c r="Y38" i="32" s="1"/>
  <c r="E46" i="25"/>
  <c r="H46" i="25" s="1"/>
  <c r="E36" i="20" s="1"/>
  <c r="W37" i="32"/>
  <c r="Y37" i="32" s="1"/>
  <c r="E30" i="25"/>
  <c r="H30" i="25" s="1"/>
  <c r="E20" i="20" s="1"/>
  <c r="W21" i="32"/>
  <c r="Y21" i="32" s="1"/>
  <c r="E16" i="25"/>
  <c r="H16" i="25" s="1"/>
  <c r="E6" i="20" s="1"/>
  <c r="W7" i="32"/>
  <c r="Y7" i="32" s="1"/>
  <c r="E23" i="25"/>
  <c r="H23" i="25" s="1"/>
  <c r="E13" i="20" s="1"/>
  <c r="W14" i="32"/>
  <c r="Y14" i="32" s="1"/>
  <c r="E38" i="25"/>
  <c r="H38" i="25" s="1"/>
  <c r="E28" i="20" s="1"/>
  <c r="W29" i="32"/>
  <c r="Y29" i="32" s="1"/>
  <c r="E86" i="25"/>
  <c r="H86" i="25" s="1"/>
  <c r="E76" i="20" s="1"/>
  <c r="W77" i="32"/>
  <c r="Y77" i="32" s="1"/>
  <c r="E56" i="25"/>
  <c r="H56" i="25" s="1"/>
  <c r="E46" i="20" s="1"/>
  <c r="W47" i="32"/>
  <c r="Y47" i="32" s="1"/>
  <c r="E49" i="25"/>
  <c r="H49" i="25" s="1"/>
  <c r="E39" i="20" s="1"/>
  <c r="W40" i="32"/>
  <c r="Y40" i="32" s="1"/>
  <c r="J70" i="27"/>
  <c r="J62" i="27"/>
  <c r="J60" i="27"/>
  <c r="D71" i="25"/>
  <c r="F71" i="25"/>
  <c r="G71" i="25" s="1"/>
  <c r="D76" i="25"/>
  <c r="F76" i="25"/>
  <c r="G76" i="25" s="1"/>
  <c r="D65" i="25"/>
  <c r="F65" i="25"/>
  <c r="G65" i="25" s="1"/>
  <c r="F67" i="25"/>
  <c r="G67" i="25" s="1"/>
  <c r="D67" i="25"/>
  <c r="D72" i="25"/>
  <c r="F72" i="25"/>
  <c r="G72" i="25" s="1"/>
  <c r="F66" i="25"/>
  <c r="G66" i="25" s="1"/>
  <c r="D66" i="25"/>
  <c r="J91" i="27"/>
  <c r="G94" i="24"/>
  <c r="D85" i="20" s="1"/>
  <c r="J32" i="27"/>
  <c r="J15" i="27"/>
  <c r="H14" i="26"/>
  <c r="I14" i="26" s="1"/>
  <c r="G14" i="26"/>
  <c r="G67" i="24"/>
  <c r="D58" i="20" s="1"/>
  <c r="G31" i="24"/>
  <c r="D22" i="20" s="1"/>
  <c r="G92" i="24"/>
  <c r="D83" i="20" s="1"/>
  <c r="G18" i="24"/>
  <c r="D9" i="20" s="1"/>
  <c r="G60" i="24"/>
  <c r="D51" i="20" s="1"/>
  <c r="G82" i="24"/>
  <c r="D73" i="20" s="1"/>
  <c r="G42" i="24"/>
  <c r="D33" i="20" s="1"/>
  <c r="G23" i="24"/>
  <c r="D14" i="20" s="1"/>
  <c r="G37" i="24"/>
  <c r="D28" i="20" s="1"/>
  <c r="J94" i="27"/>
  <c r="J19" i="27"/>
  <c r="J56" i="27"/>
  <c r="G41" i="24"/>
  <c r="D32" i="20" s="1"/>
  <c r="G59" i="24"/>
  <c r="D50" i="20" s="1"/>
  <c r="J61" i="27"/>
  <c r="G39" i="24"/>
  <c r="D30" i="20" s="1"/>
  <c r="J33" i="27"/>
  <c r="G21" i="24"/>
  <c r="D12" i="20" s="1"/>
  <c r="J30" i="27"/>
  <c r="J45" i="27"/>
  <c r="J77" i="27"/>
  <c r="G88" i="24"/>
  <c r="D79" i="20" s="1"/>
  <c r="G79" i="24"/>
  <c r="D70" i="20" s="1"/>
  <c r="G83" i="24"/>
  <c r="D74" i="20" s="1"/>
  <c r="G62" i="24"/>
  <c r="D53" i="20" s="1"/>
  <c r="G86" i="24"/>
  <c r="D77" i="20" s="1"/>
  <c r="G53" i="24"/>
  <c r="D44" i="20" s="1"/>
  <c r="G26" i="24"/>
  <c r="D17" i="20" s="1"/>
  <c r="G45" i="24"/>
  <c r="D36" i="20" s="1"/>
  <c r="G91" i="24"/>
  <c r="D82" i="20" s="1"/>
  <c r="G25" i="24"/>
  <c r="D16" i="20" s="1"/>
  <c r="G20" i="24"/>
  <c r="D11" i="20" s="1"/>
  <c r="G52" i="24"/>
  <c r="D43" i="20" s="1"/>
  <c r="G33" i="24"/>
  <c r="D24" i="20" s="1"/>
  <c r="G56" i="24"/>
  <c r="D47" i="20" s="1"/>
  <c r="G76" i="24"/>
  <c r="D67" i="20" s="1"/>
  <c r="G28" i="24"/>
  <c r="D19" i="20" s="1"/>
  <c r="J22" i="27"/>
  <c r="J78" i="27"/>
  <c r="J37" i="27"/>
  <c r="J54" i="27"/>
  <c r="J79" i="27"/>
  <c r="G61" i="24"/>
  <c r="D52" i="20" s="1"/>
  <c r="G24" i="24"/>
  <c r="D15" i="20" s="1"/>
  <c r="G54" i="24"/>
  <c r="D45" i="20" s="1"/>
  <c r="G38" i="24"/>
  <c r="D29" i="20" s="1"/>
  <c r="D17" i="24"/>
  <c r="G17" i="24" s="1"/>
  <c r="D8" i="20" s="1"/>
  <c r="D55" i="24"/>
  <c r="G55" i="24" s="1"/>
  <c r="D46" i="20" s="1"/>
  <c r="D15" i="24"/>
  <c r="G15" i="24" s="1"/>
  <c r="D6" i="20" s="1"/>
  <c r="D81" i="24"/>
  <c r="G81" i="24" s="1"/>
  <c r="D72" i="20" s="1"/>
  <c r="D43" i="24"/>
  <c r="G43" i="24" s="1"/>
  <c r="D34" i="20" s="1"/>
  <c r="D84" i="24"/>
  <c r="G84" i="24" s="1"/>
  <c r="D75" i="20" s="1"/>
  <c r="D72" i="24"/>
  <c r="G72" i="24" s="1"/>
  <c r="D63" i="20" s="1"/>
  <c r="D32" i="24"/>
  <c r="G32" i="24" s="1"/>
  <c r="D23" i="20" s="1"/>
  <c r="D48" i="24"/>
  <c r="G48" i="24" s="1"/>
  <c r="D39" i="20" s="1"/>
  <c r="D16" i="24"/>
  <c r="G16" i="24" s="1"/>
  <c r="D7" i="20" s="1"/>
  <c r="D87" i="24"/>
  <c r="G87" i="24" s="1"/>
  <c r="D78" i="20" s="1"/>
  <c r="D36" i="24"/>
  <c r="G36" i="24" s="1"/>
  <c r="D27" i="20" s="1"/>
  <c r="D63" i="24"/>
  <c r="G63" i="24" s="1"/>
  <c r="D54" i="20" s="1"/>
  <c r="D69" i="24"/>
  <c r="G69" i="24" s="1"/>
  <c r="D60" i="20" s="1"/>
  <c r="D80" i="24"/>
  <c r="G80" i="24" s="1"/>
  <c r="D71" i="20" s="1"/>
  <c r="D78" i="24"/>
  <c r="G78" i="24" s="1"/>
  <c r="D69" i="20" s="1"/>
  <c r="D19" i="24"/>
  <c r="G19" i="24" s="1"/>
  <c r="D10" i="20" s="1"/>
  <c r="D77" i="24"/>
  <c r="G77" i="24" s="1"/>
  <c r="D68" i="20" s="1"/>
  <c r="D49" i="24"/>
  <c r="G49" i="24" s="1"/>
  <c r="D40" i="20" s="1"/>
  <c r="D47" i="24"/>
  <c r="G47" i="24" s="1"/>
  <c r="D38" i="20" s="1"/>
  <c r="D68" i="24"/>
  <c r="G68" i="24" s="1"/>
  <c r="D59" i="20" s="1"/>
  <c r="D51" i="24"/>
  <c r="G51" i="24" s="1"/>
  <c r="D42" i="20" s="1"/>
  <c r="D22" i="24"/>
  <c r="G22" i="24" s="1"/>
  <c r="D13" i="20" s="1"/>
  <c r="D34" i="24"/>
  <c r="G34" i="24" s="1"/>
  <c r="D25" i="20" s="1"/>
  <c r="D89" i="24"/>
  <c r="G89" i="24" s="1"/>
  <c r="D80" i="20" s="1"/>
  <c r="D57" i="24"/>
  <c r="G57" i="24" s="1"/>
  <c r="D48" i="20" s="1"/>
  <c r="D46" i="24"/>
  <c r="G46" i="24" s="1"/>
  <c r="D37" i="20" s="1"/>
  <c r="D74" i="24"/>
  <c r="G74" i="24" s="1"/>
  <c r="D65" i="20" s="1"/>
  <c r="D29" i="24"/>
  <c r="G29" i="24" s="1"/>
  <c r="D20" i="20" s="1"/>
  <c r="D90" i="24"/>
  <c r="G90" i="24" s="1"/>
  <c r="D81" i="20" s="1"/>
  <c r="D35" i="24"/>
  <c r="G35" i="24" s="1"/>
  <c r="D26" i="20" s="1"/>
  <c r="D27" i="24"/>
  <c r="G27" i="24" s="1"/>
  <c r="D18" i="20" s="1"/>
  <c r="D44" i="24"/>
  <c r="G44" i="24" s="1"/>
  <c r="D35" i="20" s="1"/>
  <c r="D85" i="24"/>
  <c r="G85" i="24" s="1"/>
  <c r="D76" i="20" s="1"/>
  <c r="D73" i="24"/>
  <c r="G73" i="24" s="1"/>
  <c r="D64" i="20" s="1"/>
  <c r="D40" i="24"/>
  <c r="G40" i="24" s="1"/>
  <c r="D31" i="20" s="1"/>
  <c r="D50" i="24"/>
  <c r="G50" i="24" s="1"/>
  <c r="D41" i="20" s="1"/>
  <c r="D93" i="24"/>
  <c r="G93" i="24" s="1"/>
  <c r="D84" i="20" s="1"/>
  <c r="J74" i="27"/>
  <c r="F65" i="27"/>
  <c r="J75" i="27"/>
  <c r="J84" i="27"/>
  <c r="H29" i="23"/>
  <c r="F70" i="24"/>
  <c r="F75" i="24"/>
  <c r="F71" i="24"/>
  <c r="F66" i="24"/>
  <c r="F64" i="24"/>
  <c r="J63" i="27"/>
  <c r="J42" i="27"/>
  <c r="J47" i="27"/>
  <c r="D71" i="27"/>
  <c r="E67" i="23"/>
  <c r="J48" i="27"/>
  <c r="J95" i="27"/>
  <c r="J38" i="27"/>
  <c r="J44" i="27"/>
  <c r="J88" i="27"/>
  <c r="E43" i="23"/>
  <c r="E71" i="27"/>
  <c r="E24" i="23"/>
  <c r="J90" i="27"/>
  <c r="J17" i="27"/>
  <c r="J36" i="27"/>
  <c r="E90" i="23"/>
  <c r="E55" i="23"/>
  <c r="J50" i="27"/>
  <c r="J66" i="23"/>
  <c r="E76" i="27"/>
  <c r="E79" i="23"/>
  <c r="H82" i="23"/>
  <c r="J64" i="23"/>
  <c r="E94" i="23"/>
  <c r="E86" i="23"/>
  <c r="E59" i="23"/>
  <c r="J40" i="27"/>
  <c r="J65" i="23"/>
  <c r="J23" i="27"/>
  <c r="J51" i="27"/>
  <c r="J71" i="23"/>
  <c r="J70" i="23"/>
  <c r="J75" i="23"/>
  <c r="D76" i="27"/>
  <c r="H22" i="23"/>
  <c r="H52" i="23"/>
  <c r="J64" i="27"/>
  <c r="J69" i="27"/>
  <c r="J26" i="27"/>
  <c r="J86" i="27"/>
  <c r="J57" i="27"/>
  <c r="J58" i="27"/>
  <c r="E68" i="23"/>
  <c r="H44" i="23"/>
  <c r="E65" i="27"/>
  <c r="H41" i="23"/>
  <c r="H58" i="23"/>
  <c r="J93" i="27"/>
  <c r="H68" i="23"/>
  <c r="G14" i="24"/>
  <c r="H32" i="23"/>
  <c r="E29" i="23"/>
  <c r="E47" i="23"/>
  <c r="E49" i="23"/>
  <c r="E61" i="23"/>
  <c r="H45" i="23"/>
  <c r="H89" i="23"/>
  <c r="E73" i="23"/>
  <c r="E31" i="23"/>
  <c r="H50" i="23"/>
  <c r="J85" i="27"/>
  <c r="E91" i="23"/>
  <c r="E81" i="23"/>
  <c r="H38" i="23"/>
  <c r="H86" i="23"/>
  <c r="H51" i="23"/>
  <c r="E87" i="23"/>
  <c r="H62" i="23"/>
  <c r="E51" i="23"/>
  <c r="E46" i="23"/>
  <c r="E85" i="23"/>
  <c r="E18" i="23"/>
  <c r="H24" i="23"/>
  <c r="H47" i="23"/>
  <c r="H55" i="23"/>
  <c r="H92" i="23"/>
  <c r="E69" i="23"/>
  <c r="E33" i="23"/>
  <c r="H27" i="23"/>
  <c r="E41" i="23"/>
  <c r="H73" i="23"/>
  <c r="E30" i="23"/>
  <c r="H90" i="23"/>
  <c r="H79" i="23"/>
  <c r="J35" i="27"/>
  <c r="J20" i="27"/>
  <c r="J18" i="27"/>
  <c r="J49" i="27"/>
  <c r="J81" i="27"/>
  <c r="J27" i="27"/>
  <c r="H34" i="23"/>
  <c r="H84" i="23"/>
  <c r="H72" i="23"/>
  <c r="D21" i="20"/>
  <c r="D49" i="20"/>
  <c r="H20" i="23"/>
  <c r="J16" i="27"/>
  <c r="H19" i="23"/>
  <c r="H26" i="23"/>
  <c r="F67" i="27"/>
  <c r="H91" i="23"/>
  <c r="D67" i="27"/>
  <c r="E84" i="23"/>
  <c r="H43" i="23"/>
  <c r="E50" i="23"/>
  <c r="E44" i="23"/>
  <c r="E72" i="23"/>
  <c r="J82" i="27"/>
  <c r="H54" i="23"/>
  <c r="E42" i="23"/>
  <c r="E32" i="23"/>
  <c r="H39" i="23"/>
  <c r="J25" i="27"/>
  <c r="J24" i="27"/>
  <c r="E37" i="23"/>
  <c r="E78" i="23"/>
  <c r="H36" i="23"/>
  <c r="J43" i="27"/>
  <c r="J34" i="27"/>
  <c r="E56" i="23"/>
  <c r="J59" i="27"/>
  <c r="J52" i="27"/>
  <c r="J83" i="27"/>
  <c r="J89" i="27"/>
  <c r="J28" i="27"/>
  <c r="E74" i="23"/>
  <c r="E62" i="23"/>
  <c r="E82" i="23"/>
  <c r="J41" i="27"/>
  <c r="H40" i="23"/>
  <c r="H48" i="23"/>
  <c r="E53" i="23"/>
  <c r="E77" i="23"/>
  <c r="H80" i="23"/>
  <c r="J21" i="27"/>
  <c r="H16" i="23"/>
  <c r="E52" i="23"/>
  <c r="H33" i="23"/>
  <c r="H46" i="23"/>
  <c r="E17" i="23"/>
  <c r="E35" i="23"/>
  <c r="H85" i="23"/>
  <c r="H30" i="23"/>
  <c r="H87" i="23"/>
  <c r="E76" i="23"/>
  <c r="H37" i="23"/>
  <c r="H74" i="23"/>
  <c r="H67" i="23"/>
  <c r="E19" i="23"/>
  <c r="H78" i="23"/>
  <c r="H61" i="23"/>
  <c r="H81" i="23"/>
  <c r="E58" i="23"/>
  <c r="H21" i="23"/>
  <c r="E23" i="23"/>
  <c r="H93" i="23"/>
  <c r="E83" i="23"/>
  <c r="H31" i="23"/>
  <c r="E45" i="23"/>
  <c r="J31" i="27"/>
  <c r="J68" i="27"/>
  <c r="H77" i="23"/>
  <c r="H25" i="23"/>
  <c r="J92" i="27"/>
  <c r="E60" i="23"/>
  <c r="H56" i="23"/>
  <c r="H88" i="23"/>
  <c r="E93" i="23"/>
  <c r="E63" i="23"/>
  <c r="E54" i="23"/>
  <c r="E87" i="32"/>
  <c r="E57" i="23"/>
  <c r="H23" i="23"/>
  <c r="E26" i="23"/>
  <c r="E40" i="23"/>
  <c r="E20" i="23"/>
  <c r="H60" i="23"/>
  <c r="H28" i="23"/>
  <c r="E89" i="23"/>
  <c r="H59" i="23"/>
  <c r="J53" i="27"/>
  <c r="J29" i="27"/>
  <c r="J46" i="27"/>
  <c r="E36" i="23"/>
  <c r="E39" i="23"/>
  <c r="J55" i="27"/>
  <c r="J80" i="27"/>
  <c r="J73" i="27"/>
  <c r="L54" i="23"/>
  <c r="S46" i="32"/>
  <c r="U46" i="32" s="1"/>
  <c r="F72" i="27"/>
  <c r="E25" i="23"/>
  <c r="L69" i="23"/>
  <c r="S61" i="32"/>
  <c r="U61" i="32" s="1"/>
  <c r="L49" i="23"/>
  <c r="S41" i="32"/>
  <c r="U41" i="32" s="1"/>
  <c r="L38" i="23"/>
  <c r="S30" i="32"/>
  <c r="U30" i="32" s="1"/>
  <c r="S75" i="32"/>
  <c r="U75" i="32" s="1"/>
  <c r="L83" i="23"/>
  <c r="L22" i="23"/>
  <c r="S14" i="32"/>
  <c r="U14" i="32" s="1"/>
  <c r="S34" i="32"/>
  <c r="U34" i="32" s="1"/>
  <c r="L42" i="23"/>
  <c r="S19" i="32"/>
  <c r="U19" i="32" s="1"/>
  <c r="L27" i="23"/>
  <c r="S36" i="32"/>
  <c r="U36" i="32" s="1"/>
  <c r="L44" i="23"/>
  <c r="C94" i="39"/>
  <c r="L93" i="23"/>
  <c r="S85" i="32"/>
  <c r="U85" i="32" s="1"/>
  <c r="L73" i="23"/>
  <c r="S65" i="32"/>
  <c r="U65" i="32" s="1"/>
  <c r="S76" i="32"/>
  <c r="U76" i="32" s="1"/>
  <c r="L84" i="23"/>
  <c r="S12" i="32"/>
  <c r="U12" i="32" s="1"/>
  <c r="L20" i="23"/>
  <c r="O57" i="32"/>
  <c r="Q57" i="32" s="1"/>
  <c r="K57" i="32"/>
  <c r="M57" i="32" s="1"/>
  <c r="E72" i="27"/>
  <c r="H53" i="23"/>
  <c r="H17" i="23"/>
  <c r="H35" i="23"/>
  <c r="H76" i="23"/>
  <c r="H18" i="23"/>
  <c r="H94" i="23"/>
  <c r="S7" i="32"/>
  <c r="U7" i="32" s="1"/>
  <c r="L15" i="23"/>
  <c r="L63" i="23"/>
  <c r="S55" i="32"/>
  <c r="U55" i="32" s="1"/>
  <c r="L46" i="23"/>
  <c r="S38" i="32"/>
  <c r="U38" i="32" s="1"/>
  <c r="S8" i="32"/>
  <c r="U8" i="32" s="1"/>
  <c r="L16" i="23"/>
  <c r="S45" i="32"/>
  <c r="U45" i="32" s="1"/>
  <c r="L53" i="23"/>
  <c r="S20" i="32"/>
  <c r="U20" i="32" s="1"/>
  <c r="L28" i="23"/>
  <c r="S10" i="32"/>
  <c r="U10" i="32" s="1"/>
  <c r="L18" i="23"/>
  <c r="S72" i="32"/>
  <c r="U72" i="32" s="1"/>
  <c r="L80" i="23"/>
  <c r="L37" i="23"/>
  <c r="S29" i="32"/>
  <c r="U29" i="32" s="1"/>
  <c r="S84" i="32"/>
  <c r="U84" i="32" s="1"/>
  <c r="L92" i="23"/>
  <c r="S13" i="32"/>
  <c r="U13" i="32" s="1"/>
  <c r="L21" i="23"/>
  <c r="O6" i="32"/>
  <c r="S40" i="32"/>
  <c r="U40" i="32" s="1"/>
  <c r="L48" i="23"/>
  <c r="D94" i="39"/>
  <c r="L30" i="23"/>
  <c r="S22" i="32"/>
  <c r="U22" i="32" s="1"/>
  <c r="D72" i="27"/>
  <c r="S66" i="32"/>
  <c r="U66" i="32" s="1"/>
  <c r="L74" i="23"/>
  <c r="S48" i="32"/>
  <c r="U48" i="32" s="1"/>
  <c r="L56" i="23"/>
  <c r="S6" i="32"/>
  <c r="U6" i="32" s="1"/>
  <c r="L62" i="23"/>
  <c r="S54" i="32"/>
  <c r="U54" i="32" s="1"/>
  <c r="S35" i="32"/>
  <c r="U35" i="32" s="1"/>
  <c r="L43" i="23"/>
  <c r="S33" i="32"/>
  <c r="U33" i="32" s="1"/>
  <c r="L41" i="23"/>
  <c r="S71" i="32"/>
  <c r="U71" i="32" s="1"/>
  <c r="L79" i="23"/>
  <c r="H69" i="23"/>
  <c r="H63" i="23"/>
  <c r="S9" i="32"/>
  <c r="U9" i="32" s="1"/>
  <c r="L17" i="23"/>
  <c r="S17" i="32"/>
  <c r="U17" i="32" s="1"/>
  <c r="L25" i="23"/>
  <c r="S15" i="32"/>
  <c r="U15" i="32" s="1"/>
  <c r="L23" i="23"/>
  <c r="S47" i="32"/>
  <c r="U47" i="32" s="1"/>
  <c r="L55" i="23"/>
  <c r="S60" i="32"/>
  <c r="U60" i="32" s="1"/>
  <c r="L68" i="23"/>
  <c r="S81" i="32"/>
  <c r="U81" i="32" s="1"/>
  <c r="L89" i="23"/>
  <c r="S51" i="32"/>
  <c r="U51" i="32" s="1"/>
  <c r="L59" i="23"/>
  <c r="S74" i="32"/>
  <c r="U74" i="32" s="1"/>
  <c r="L82" i="23"/>
  <c r="L45" i="23"/>
  <c r="S37" i="32"/>
  <c r="U37" i="32" s="1"/>
  <c r="S43" i="32"/>
  <c r="U43" i="32" s="1"/>
  <c r="L51" i="23"/>
  <c r="L90" i="23"/>
  <c r="S82" i="32"/>
  <c r="U82" i="32" s="1"/>
  <c r="O58" i="32"/>
  <c r="Q58" i="32" s="1"/>
  <c r="K58" i="32"/>
  <c r="M58" i="32" s="1"/>
  <c r="F66" i="27"/>
  <c r="E22" i="23"/>
  <c r="E16" i="23"/>
  <c r="E28" i="23"/>
  <c r="E92" i="23"/>
  <c r="E48" i="23"/>
  <c r="S80" i="32"/>
  <c r="U80" i="32" s="1"/>
  <c r="L88" i="23"/>
  <c r="S26" i="32"/>
  <c r="U26" i="32" s="1"/>
  <c r="L34" i="23"/>
  <c r="L58" i="23"/>
  <c r="S50" i="32"/>
  <c r="U50" i="32" s="1"/>
  <c r="L86" i="23"/>
  <c r="S78" i="32"/>
  <c r="U78" i="32" s="1"/>
  <c r="S31" i="32"/>
  <c r="U31" i="32" s="1"/>
  <c r="L39" i="23"/>
  <c r="S16" i="32"/>
  <c r="U16" i="32" s="1"/>
  <c r="L24" i="23"/>
  <c r="C96" i="27"/>
  <c r="O67" i="32"/>
  <c r="Q67" i="32" s="1"/>
  <c r="K67" i="32"/>
  <c r="M67" i="32" s="1"/>
  <c r="D66" i="27"/>
  <c r="H15" i="23"/>
  <c r="H57" i="23"/>
  <c r="H49" i="23"/>
  <c r="H42" i="23"/>
  <c r="H83" i="23"/>
  <c r="S49" i="32"/>
  <c r="U49" i="32" s="1"/>
  <c r="L57" i="23"/>
  <c r="L77" i="23"/>
  <c r="S69" i="32"/>
  <c r="U69" i="32" s="1"/>
  <c r="S77" i="32"/>
  <c r="U77" i="32" s="1"/>
  <c r="L85" i="23"/>
  <c r="L78" i="23"/>
  <c r="S70" i="32"/>
  <c r="U70" i="32" s="1"/>
  <c r="S73" i="32"/>
  <c r="U73" i="32" s="1"/>
  <c r="L81" i="23"/>
  <c r="S64" i="32"/>
  <c r="U64" i="32" s="1"/>
  <c r="L72" i="23"/>
  <c r="S83" i="32"/>
  <c r="U83" i="32" s="1"/>
  <c r="L91" i="23"/>
  <c r="L29" i="23"/>
  <c r="S21" i="32"/>
  <c r="U21" i="32" s="1"/>
  <c r="S24" i="32"/>
  <c r="U24" i="32" s="1"/>
  <c r="L32" i="23"/>
  <c r="S39" i="32"/>
  <c r="U39" i="32" s="1"/>
  <c r="L47" i="23"/>
  <c r="S44" i="32"/>
  <c r="U44" i="32" s="1"/>
  <c r="L52" i="23"/>
  <c r="O56" i="32"/>
  <c r="Q56" i="32" s="1"/>
  <c r="K56" i="32"/>
  <c r="M56" i="32" s="1"/>
  <c r="S52" i="32"/>
  <c r="U52" i="32" s="1"/>
  <c r="L60" i="23"/>
  <c r="S79" i="32"/>
  <c r="U79" i="32" s="1"/>
  <c r="L87" i="23"/>
  <c r="S32" i="32"/>
  <c r="U32" i="32" s="1"/>
  <c r="L40" i="23"/>
  <c r="S11" i="32"/>
  <c r="U11" i="32" s="1"/>
  <c r="L19" i="23"/>
  <c r="O62" i="32"/>
  <c r="Q62" i="32" s="1"/>
  <c r="K62" i="32"/>
  <c r="M62" i="32" s="1"/>
  <c r="O63" i="32"/>
  <c r="Q63" i="32" s="1"/>
  <c r="K63" i="32"/>
  <c r="M63" i="32" s="1"/>
  <c r="E21" i="23"/>
  <c r="E27" i="23"/>
  <c r="E15" i="23"/>
  <c r="E88" i="23"/>
  <c r="E34" i="23"/>
  <c r="E80" i="23"/>
  <c r="E38" i="23"/>
  <c r="S28" i="32"/>
  <c r="U28" i="32" s="1"/>
  <c r="L36" i="23"/>
  <c r="S27" i="32"/>
  <c r="U27" i="32" s="1"/>
  <c r="L35" i="23"/>
  <c r="L26" i="23"/>
  <c r="S18" i="32"/>
  <c r="U18" i="32" s="1"/>
  <c r="L61" i="23"/>
  <c r="S53" i="32"/>
  <c r="U53" i="32" s="1"/>
  <c r="L94" i="23"/>
  <c r="S86" i="32"/>
  <c r="U86" i="32" s="1"/>
  <c r="L31" i="23"/>
  <c r="S23" i="32"/>
  <c r="U23" i="32" s="1"/>
  <c r="S42" i="32"/>
  <c r="U42" i="32" s="1"/>
  <c r="L50" i="23"/>
  <c r="S25" i="32"/>
  <c r="U25" i="32" s="1"/>
  <c r="L33" i="23"/>
  <c r="S68" i="32"/>
  <c r="U68" i="32" s="1"/>
  <c r="L76" i="23"/>
  <c r="S59" i="32"/>
  <c r="U59" i="32" s="1"/>
  <c r="L67" i="23"/>
  <c r="D65" i="24"/>
  <c r="D64" i="24"/>
  <c r="E31" i="28"/>
  <c r="J75" i="26"/>
  <c r="H75" i="26"/>
  <c r="M7" i="32"/>
  <c r="Q7" i="32"/>
  <c r="G58" i="26"/>
  <c r="G21" i="26"/>
  <c r="G89" i="26"/>
  <c r="G72" i="26"/>
  <c r="G51" i="26"/>
  <c r="G94" i="26"/>
  <c r="G47" i="26"/>
  <c r="G85" i="26"/>
  <c r="G45" i="26"/>
  <c r="G54" i="26"/>
  <c r="G36" i="26"/>
  <c r="G19" i="26"/>
  <c r="G46" i="26"/>
  <c r="G49" i="26"/>
  <c r="G80" i="26"/>
  <c r="G31" i="26"/>
  <c r="G67" i="26"/>
  <c r="G27" i="26"/>
  <c r="G29" i="26"/>
  <c r="G62" i="26"/>
  <c r="G28" i="26"/>
  <c r="G87" i="26"/>
  <c r="G23" i="26"/>
  <c r="G60" i="26"/>
  <c r="G55" i="26"/>
  <c r="G42" i="26"/>
  <c r="G33" i="26"/>
  <c r="G88" i="26"/>
  <c r="G74" i="26"/>
  <c r="G77" i="26"/>
  <c r="G24" i="26"/>
  <c r="G35" i="26"/>
  <c r="G86" i="26"/>
  <c r="G39" i="26"/>
  <c r="G63" i="26"/>
  <c r="G59" i="26"/>
  <c r="G26" i="26"/>
  <c r="G56" i="26"/>
  <c r="G82" i="26"/>
  <c r="G34" i="26"/>
  <c r="G37" i="26"/>
  <c r="G15" i="26"/>
  <c r="G25" i="26"/>
  <c r="G43" i="26"/>
  <c r="G52" i="26"/>
  <c r="G22" i="26"/>
  <c r="G41" i="26"/>
  <c r="G78" i="26"/>
  <c r="G38" i="26"/>
  <c r="G93" i="26"/>
  <c r="G57" i="26"/>
  <c r="G61" i="26"/>
  <c r="G40" i="26"/>
  <c r="G30" i="26"/>
  <c r="G53" i="26"/>
  <c r="G92" i="26"/>
  <c r="G48" i="26"/>
  <c r="G79" i="26"/>
  <c r="H70" i="26"/>
  <c r="J70" i="26"/>
  <c r="H64" i="26"/>
  <c r="J64" i="26"/>
  <c r="H71" i="26"/>
  <c r="J71" i="26"/>
  <c r="H65" i="26"/>
  <c r="J65" i="26"/>
  <c r="H66" i="26"/>
  <c r="J66" i="26"/>
  <c r="G84" i="26"/>
  <c r="G90" i="26"/>
  <c r="G50" i="26"/>
  <c r="G69" i="26"/>
  <c r="G17" i="26"/>
  <c r="G44" i="26"/>
  <c r="G32" i="26"/>
  <c r="G68" i="26"/>
  <c r="G18" i="26"/>
  <c r="G81" i="26"/>
  <c r="G83" i="26"/>
  <c r="G16" i="26"/>
  <c r="G91" i="26"/>
  <c r="G73" i="26"/>
  <c r="G20" i="26"/>
  <c r="G76" i="26"/>
  <c r="C95" i="26"/>
  <c r="C96" i="25"/>
  <c r="C95" i="23"/>
  <c r="M96" i="9"/>
  <c r="E31" i="45" l="1"/>
  <c r="E31" i="33"/>
  <c r="E79" i="37"/>
  <c r="E79" i="45"/>
  <c r="E79" i="28"/>
  <c r="E79" i="33"/>
  <c r="E62" i="28"/>
  <c r="E65" i="25"/>
  <c r="H65" i="25" s="1"/>
  <c r="W56" i="32"/>
  <c r="Y56" i="32" s="1"/>
  <c r="E66" i="25"/>
  <c r="H66" i="25" s="1"/>
  <c r="E56" i="20" s="1"/>
  <c r="W57" i="32"/>
  <c r="Y57" i="32" s="1"/>
  <c r="Y6" i="32"/>
  <c r="E71" i="25"/>
  <c r="H71" i="25" s="1"/>
  <c r="E61" i="20" s="1"/>
  <c r="W62" i="32"/>
  <c r="Y62" i="32" s="1"/>
  <c r="E67" i="25"/>
  <c r="H67" i="25" s="1"/>
  <c r="E57" i="20" s="1"/>
  <c r="W58" i="32"/>
  <c r="Y58" i="32" s="1"/>
  <c r="E76" i="25"/>
  <c r="H76" i="25" s="1"/>
  <c r="E66" i="20" s="1"/>
  <c r="W67" i="32"/>
  <c r="Y67" i="32" s="1"/>
  <c r="E72" i="25"/>
  <c r="H72" i="25" s="1"/>
  <c r="E62" i="20" s="1"/>
  <c r="W63" i="32"/>
  <c r="Y63" i="32" s="1"/>
  <c r="E62" i="33"/>
  <c r="E62" i="37"/>
  <c r="E62" i="45"/>
  <c r="E52" i="45"/>
  <c r="E54" i="28"/>
  <c r="E54" i="33"/>
  <c r="E54" i="37"/>
  <c r="E54" i="45"/>
  <c r="E52" i="37"/>
  <c r="E52" i="28"/>
  <c r="E52" i="33"/>
  <c r="G96" i="25"/>
  <c r="F96" i="25"/>
  <c r="E83" i="28"/>
  <c r="E83" i="33"/>
  <c r="E83" i="45"/>
  <c r="E83" i="37"/>
  <c r="E24" i="28"/>
  <c r="E24" i="33"/>
  <c r="E24" i="37"/>
  <c r="E24" i="45"/>
  <c r="D5" i="20"/>
  <c r="E53" i="45"/>
  <c r="E78" i="45"/>
  <c r="E76" i="45"/>
  <c r="E61" i="45"/>
  <c r="E35" i="45"/>
  <c r="E43" i="45"/>
  <c r="E17" i="45"/>
  <c r="E45" i="45"/>
  <c r="E20" i="45"/>
  <c r="E8" i="45"/>
  <c r="E27" i="45"/>
  <c r="E77" i="37"/>
  <c r="E77" i="45"/>
  <c r="E56" i="45"/>
  <c r="E9" i="45"/>
  <c r="E87" i="45"/>
  <c r="E66" i="45"/>
  <c r="E46" i="45"/>
  <c r="E25" i="45"/>
  <c r="E65" i="45"/>
  <c r="E84" i="45"/>
  <c r="E81" i="45"/>
  <c r="E15" i="45"/>
  <c r="E82" i="45"/>
  <c r="E40" i="45"/>
  <c r="E29" i="45"/>
  <c r="E72" i="45"/>
  <c r="E75" i="45"/>
  <c r="E7" i="45"/>
  <c r="E70" i="45"/>
  <c r="E47" i="45"/>
  <c r="E44" i="45"/>
  <c r="E19" i="28"/>
  <c r="E19" i="45"/>
  <c r="E50" i="45"/>
  <c r="E32" i="45"/>
  <c r="E14" i="45"/>
  <c r="E60" i="45"/>
  <c r="E33" i="45"/>
  <c r="E51" i="45"/>
  <c r="E73" i="45"/>
  <c r="E49" i="45"/>
  <c r="E42" i="45"/>
  <c r="E39" i="45"/>
  <c r="E69" i="45"/>
  <c r="E23" i="45"/>
  <c r="E16" i="45"/>
  <c r="E74" i="45"/>
  <c r="E41" i="45"/>
  <c r="E85" i="45"/>
  <c r="E80" i="45"/>
  <c r="E34" i="45"/>
  <c r="E37" i="45"/>
  <c r="E48" i="45"/>
  <c r="E38" i="45"/>
  <c r="E13" i="45"/>
  <c r="E26" i="45"/>
  <c r="E10" i="45"/>
  <c r="E18" i="45"/>
  <c r="E36" i="45"/>
  <c r="E55" i="45"/>
  <c r="E67" i="45"/>
  <c r="E22" i="45"/>
  <c r="E11" i="45"/>
  <c r="E21" i="45"/>
  <c r="E12" i="45"/>
  <c r="E28" i="45"/>
  <c r="E30" i="45"/>
  <c r="E71" i="45"/>
  <c r="E86" i="45"/>
  <c r="E11" i="37"/>
  <c r="E69" i="37"/>
  <c r="E69" i="33"/>
  <c r="E11" i="33"/>
  <c r="E86" i="28"/>
  <c r="E86" i="37"/>
  <c r="E86" i="33"/>
  <c r="E69" i="28"/>
  <c r="E22" i="37"/>
  <c r="E11" i="28"/>
  <c r="E53" i="37"/>
  <c r="E25" i="33"/>
  <c r="E71" i="37"/>
  <c r="E37" i="33"/>
  <c r="E25" i="28"/>
  <c r="E25" i="37"/>
  <c r="E53" i="33"/>
  <c r="E48" i="28"/>
  <c r="E48" i="37"/>
  <c r="E22" i="28"/>
  <c r="E71" i="33"/>
  <c r="E48" i="33"/>
  <c r="E22" i="33"/>
  <c r="E37" i="28"/>
  <c r="E53" i="28"/>
  <c r="E65" i="28"/>
  <c r="E70" i="28"/>
  <c r="E70" i="33"/>
  <c r="E70" i="37"/>
  <c r="E46" i="28"/>
  <c r="E46" i="33"/>
  <c r="E37" i="37"/>
  <c r="E66" i="28"/>
  <c r="E46" i="37"/>
  <c r="E14" i="33"/>
  <c r="E14" i="37"/>
  <c r="E14" i="28"/>
  <c r="E29" i="37"/>
  <c r="E29" i="28"/>
  <c r="E29" i="33"/>
  <c r="E71" i="28"/>
  <c r="D70" i="24"/>
  <c r="G70" i="24" s="1"/>
  <c r="D61" i="20" s="1"/>
  <c r="D66" i="24"/>
  <c r="G66" i="24" s="1"/>
  <c r="D57" i="20" s="1"/>
  <c r="D75" i="24"/>
  <c r="G75" i="24" s="1"/>
  <c r="D66" i="20" s="1"/>
  <c r="D71" i="24"/>
  <c r="G71" i="24" s="1"/>
  <c r="D62" i="20" s="1"/>
  <c r="E76" i="37"/>
  <c r="E39" i="37"/>
  <c r="E76" i="28"/>
  <c r="G64" i="24"/>
  <c r="E76" i="33"/>
  <c r="E78" i="37"/>
  <c r="E50" i="37"/>
  <c r="E30" i="33"/>
  <c r="E66" i="33"/>
  <c r="E66" i="37"/>
  <c r="E67" i="28"/>
  <c r="E67" i="33"/>
  <c r="E40" i="33"/>
  <c r="E67" i="37"/>
  <c r="E55" i="33"/>
  <c r="E18" i="28"/>
  <c r="E18" i="33"/>
  <c r="E80" i="37"/>
  <c r="E80" i="33"/>
  <c r="E80" i="28"/>
  <c r="E34" i="28"/>
  <c r="E34" i="33"/>
  <c r="E50" i="28"/>
  <c r="E50" i="33"/>
  <c r="E85" i="33"/>
  <c r="E13" i="28"/>
  <c r="E39" i="28"/>
  <c r="E28" i="37"/>
  <c r="E55" i="37"/>
  <c r="E72" i="33"/>
  <c r="E16" i="28"/>
  <c r="E55" i="28"/>
  <c r="E39" i="33"/>
  <c r="E82" i="28"/>
  <c r="E27" i="28"/>
  <c r="E82" i="37"/>
  <c r="E49" i="28"/>
  <c r="E82" i="33"/>
  <c r="E27" i="33"/>
  <c r="E40" i="37"/>
  <c r="E26" i="28"/>
  <c r="E17" i="28"/>
  <c r="E17" i="37"/>
  <c r="E40" i="28"/>
  <c r="E26" i="33"/>
  <c r="E17" i="33"/>
  <c r="E13" i="33"/>
  <c r="E43" i="37"/>
  <c r="J71" i="27"/>
  <c r="E49" i="33"/>
  <c r="E43" i="33"/>
  <c r="F65" i="24"/>
  <c r="F95" i="24" s="1"/>
  <c r="E43" i="28"/>
  <c r="E35" i="37"/>
  <c r="E49" i="37"/>
  <c r="E85" i="28"/>
  <c r="E13" i="37"/>
  <c r="E87" i="28"/>
  <c r="E87" i="33"/>
  <c r="E87" i="37"/>
  <c r="E74" i="33"/>
  <c r="E16" i="33"/>
  <c r="E12" i="37"/>
  <c r="E34" i="37"/>
  <c r="E38" i="33"/>
  <c r="E12" i="28"/>
  <c r="E38" i="28"/>
  <c r="E72" i="28"/>
  <c r="M22" i="23"/>
  <c r="E74" i="28"/>
  <c r="E12" i="33"/>
  <c r="E18" i="37"/>
  <c r="J67" i="27"/>
  <c r="E30" i="28"/>
  <c r="E41" i="28"/>
  <c r="E44" i="28"/>
  <c r="E44" i="33"/>
  <c r="E32" i="28"/>
  <c r="E56" i="28"/>
  <c r="E28" i="28"/>
  <c r="E30" i="37"/>
  <c r="E32" i="33"/>
  <c r="E56" i="33"/>
  <c r="E28" i="33"/>
  <c r="M38" i="23"/>
  <c r="M48" i="23"/>
  <c r="E60" i="33"/>
  <c r="E41" i="33"/>
  <c r="E23" i="28"/>
  <c r="M41" i="23"/>
  <c r="E61" i="28"/>
  <c r="E61" i="37"/>
  <c r="E61" i="33"/>
  <c r="E36" i="28"/>
  <c r="E36" i="33"/>
  <c r="E36" i="37"/>
  <c r="E60" i="37"/>
  <c r="E27" i="37"/>
  <c r="E56" i="37"/>
  <c r="E15" i="28"/>
  <c r="E60" i="28"/>
  <c r="E78" i="28"/>
  <c r="E78" i="33"/>
  <c r="E35" i="28"/>
  <c r="M21" i="23"/>
  <c r="M92" i="23"/>
  <c r="E85" i="37"/>
  <c r="E15" i="33"/>
  <c r="E84" i="33"/>
  <c r="M28" i="23"/>
  <c r="E42" i="37"/>
  <c r="E42" i="28"/>
  <c r="E35" i="33"/>
  <c r="E15" i="37"/>
  <c r="E42" i="33"/>
  <c r="M90" i="23"/>
  <c r="J65" i="27"/>
  <c r="E96" i="27"/>
  <c r="E9" i="33"/>
  <c r="E65" i="33"/>
  <c r="E23" i="33"/>
  <c r="E9" i="28"/>
  <c r="E10" i="28"/>
  <c r="E9" i="37"/>
  <c r="E10" i="33"/>
  <c r="E10" i="37"/>
  <c r="G96" i="27"/>
  <c r="E33" i="28"/>
  <c r="E51" i="28"/>
  <c r="E33" i="33"/>
  <c r="E51" i="33"/>
  <c r="M34" i="23"/>
  <c r="M27" i="23"/>
  <c r="M80" i="23"/>
  <c r="Q6" i="32"/>
  <c r="O87" i="32"/>
  <c r="Q87" i="32" s="1"/>
  <c r="E75" i="23"/>
  <c r="M15" i="23"/>
  <c r="M88" i="23"/>
  <c r="E51" i="37"/>
  <c r="M16" i="23"/>
  <c r="F96" i="27"/>
  <c r="E26" i="37"/>
  <c r="E32" i="37"/>
  <c r="M54" i="23"/>
  <c r="M25" i="23"/>
  <c r="M57" i="23"/>
  <c r="M67" i="23"/>
  <c r="M17" i="23"/>
  <c r="M53" i="23"/>
  <c r="M78" i="23"/>
  <c r="M43" i="23"/>
  <c r="M30" i="23"/>
  <c r="M47" i="23"/>
  <c r="M23" i="23"/>
  <c r="M32" i="23"/>
  <c r="M84" i="23"/>
  <c r="M24" i="23"/>
  <c r="M29" i="23"/>
  <c r="M94" i="23"/>
  <c r="M42" i="23"/>
  <c r="M18" i="23"/>
  <c r="M58" i="23"/>
  <c r="M76" i="23"/>
  <c r="M52" i="23"/>
  <c r="M37" i="23"/>
  <c r="M85" i="23"/>
  <c r="M73" i="23"/>
  <c r="M20" i="23"/>
  <c r="M45" i="23"/>
  <c r="M82" i="23"/>
  <c r="M56" i="23"/>
  <c r="M33" i="23"/>
  <c r="M46" i="23"/>
  <c r="M68" i="23"/>
  <c r="M59" i="23"/>
  <c r="M39" i="23"/>
  <c r="M40" i="23"/>
  <c r="M63" i="23"/>
  <c r="M31" i="23"/>
  <c r="M62" i="23"/>
  <c r="M72" i="23"/>
  <c r="M69" i="23"/>
  <c r="M51" i="23"/>
  <c r="M86" i="23"/>
  <c r="M36" i="23"/>
  <c r="M26" i="23"/>
  <c r="M60" i="23"/>
  <c r="M74" i="23"/>
  <c r="M44" i="23"/>
  <c r="M79" i="23"/>
  <c r="M81" i="23"/>
  <c r="M61" i="23"/>
  <c r="M89" i="23"/>
  <c r="M93" i="23"/>
  <c r="M83" i="23"/>
  <c r="M19" i="23"/>
  <c r="M35" i="23"/>
  <c r="M77" i="23"/>
  <c r="M50" i="23"/>
  <c r="M55" i="23"/>
  <c r="M87" i="23"/>
  <c r="M91" i="23"/>
  <c r="M49" i="23"/>
  <c r="I95" i="23"/>
  <c r="J95" i="23"/>
  <c r="J76" i="27"/>
  <c r="E77" i="28"/>
  <c r="E21" i="33"/>
  <c r="E44" i="37"/>
  <c r="E8" i="37"/>
  <c r="E81" i="37"/>
  <c r="E81" i="28"/>
  <c r="E8" i="28"/>
  <c r="E81" i="33"/>
  <c r="E77" i="33"/>
  <c r="E45" i="28"/>
  <c r="E8" i="33"/>
  <c r="E73" i="28"/>
  <c r="E19" i="37"/>
  <c r="E73" i="37"/>
  <c r="E45" i="33"/>
  <c r="E73" i="33"/>
  <c r="E19" i="33"/>
  <c r="E16" i="37"/>
  <c r="E41" i="37"/>
  <c r="E74" i="37"/>
  <c r="E33" i="37"/>
  <c r="E21" i="28"/>
  <c r="E20" i="37"/>
  <c r="E47" i="28"/>
  <c r="E20" i="28"/>
  <c r="E47" i="33"/>
  <c r="E20" i="33"/>
  <c r="E84" i="28"/>
  <c r="E75" i="37"/>
  <c r="E75" i="28"/>
  <c r="E75" i="33"/>
  <c r="E23" i="37"/>
  <c r="E72" i="37"/>
  <c r="E64" i="23"/>
  <c r="E84" i="37"/>
  <c r="H96" i="27"/>
  <c r="H66" i="23"/>
  <c r="H65" i="23"/>
  <c r="E70" i="23"/>
  <c r="E45" i="37"/>
  <c r="E38" i="37"/>
  <c r="H64" i="23"/>
  <c r="H70" i="23"/>
  <c r="D96" i="27"/>
  <c r="E47" i="37"/>
  <c r="H75" i="23"/>
  <c r="J66" i="27"/>
  <c r="H71" i="23"/>
  <c r="E71" i="23"/>
  <c r="E21" i="37"/>
  <c r="E65" i="37"/>
  <c r="S57" i="32"/>
  <c r="U57" i="32" s="1"/>
  <c r="L65" i="23"/>
  <c r="E7" i="37"/>
  <c r="E65" i="23"/>
  <c r="S67" i="32"/>
  <c r="U67" i="32" s="1"/>
  <c r="L75" i="23"/>
  <c r="G95" i="23"/>
  <c r="J72" i="27"/>
  <c r="S63" i="32"/>
  <c r="U63" i="32" s="1"/>
  <c r="L71" i="23"/>
  <c r="S56" i="32"/>
  <c r="U56" i="32" s="1"/>
  <c r="L64" i="23"/>
  <c r="S58" i="32"/>
  <c r="U58" i="32" s="1"/>
  <c r="L66" i="23"/>
  <c r="E66" i="23"/>
  <c r="F5" i="20"/>
  <c r="F86" i="20" s="1"/>
  <c r="E94" i="39"/>
  <c r="K95" i="23"/>
  <c r="L70" i="23"/>
  <c r="S62" i="32"/>
  <c r="U62" i="32" s="1"/>
  <c r="D95" i="23"/>
  <c r="C95" i="24"/>
  <c r="E7" i="33"/>
  <c r="E7" i="28"/>
  <c r="K87" i="32"/>
  <c r="M87" i="32"/>
  <c r="G75" i="26"/>
  <c r="G70" i="26"/>
  <c r="J95" i="26"/>
  <c r="G71" i="26"/>
  <c r="G66" i="26"/>
  <c r="G65" i="26"/>
  <c r="H95" i="26"/>
  <c r="G64" i="26"/>
  <c r="F95" i="26"/>
  <c r="D96" i="25"/>
  <c r="E96" i="25" l="1"/>
  <c r="W87" i="32"/>
  <c r="Y87" i="32" s="1"/>
  <c r="E64" i="45"/>
  <c r="E63" i="45"/>
  <c r="E57" i="45"/>
  <c r="E58" i="45"/>
  <c r="E68" i="45"/>
  <c r="E59" i="45"/>
  <c r="D95" i="24"/>
  <c r="E63" i="33"/>
  <c r="E59" i="28"/>
  <c r="G65" i="24"/>
  <c r="G95" i="24" s="1"/>
  <c r="E63" i="28"/>
  <c r="E63" i="37"/>
  <c r="E59" i="33"/>
  <c r="E59" i="37"/>
  <c r="E57" i="37"/>
  <c r="E57" i="28"/>
  <c r="E57" i="33"/>
  <c r="M65" i="23"/>
  <c r="M64" i="23"/>
  <c r="M66" i="23"/>
  <c r="M71" i="23"/>
  <c r="M75" i="23"/>
  <c r="M70" i="23"/>
  <c r="E68" i="37"/>
  <c r="E68" i="28"/>
  <c r="E68" i="33"/>
  <c r="D55" i="20"/>
  <c r="E58" i="28"/>
  <c r="E95" i="23"/>
  <c r="H95" i="23"/>
  <c r="E58" i="37"/>
  <c r="J96" i="27"/>
  <c r="L95" i="23"/>
  <c r="E58" i="33"/>
  <c r="E64" i="33"/>
  <c r="E64" i="28"/>
  <c r="E64" i="37"/>
  <c r="S87" i="32"/>
  <c r="U87" i="32" s="1"/>
  <c r="G95" i="26"/>
  <c r="H96" i="25"/>
  <c r="E55" i="20"/>
  <c r="E86" i="20" s="1"/>
  <c r="E88" i="45" l="1"/>
  <c r="D56" i="20"/>
  <c r="D86" i="20" s="1"/>
  <c r="E88" i="33"/>
  <c r="E88" i="37"/>
  <c r="E89" i="37" s="1"/>
  <c r="E88" i="28"/>
  <c r="E89" i="33" l="1"/>
  <c r="E89" i="45"/>
  <c r="K43" i="33"/>
  <c r="L43" i="33" s="1"/>
  <c r="M43" i="33" s="1"/>
  <c r="K7" i="33"/>
  <c r="L7" i="33" s="1"/>
  <c r="K12" i="33"/>
  <c r="L12" i="33" s="1"/>
  <c r="M12" i="33" s="1"/>
  <c r="E89" i="28"/>
  <c r="K27" i="33"/>
  <c r="L27" i="33" s="1"/>
  <c r="M27" i="33" s="1"/>
  <c r="K28" i="33"/>
  <c r="L28" i="33" s="1"/>
  <c r="M28" i="33" s="1"/>
  <c r="K68" i="33"/>
  <c r="L68" i="33" s="1"/>
  <c r="M68" i="33" s="1"/>
  <c r="K35" i="33"/>
  <c r="L35" i="33" s="1"/>
  <c r="M35" i="33" s="1"/>
  <c r="K39" i="33"/>
  <c r="L39" i="33" s="1"/>
  <c r="M39" i="33" s="1"/>
  <c r="K57" i="33"/>
  <c r="L57" i="33" s="1"/>
  <c r="M57" i="33" s="1"/>
  <c r="K64" i="33"/>
  <c r="L64" i="33" s="1"/>
  <c r="M64" i="33" s="1"/>
  <c r="K22" i="33"/>
  <c r="L22" i="33" s="1"/>
  <c r="M22" i="33" s="1"/>
  <c r="K44" i="33"/>
  <c r="L44" i="33" s="1"/>
  <c r="M44" i="33" s="1"/>
  <c r="K24" i="33"/>
  <c r="L24" i="33" s="1"/>
  <c r="M24" i="33" s="1"/>
  <c r="K85" i="33"/>
  <c r="L85" i="33" s="1"/>
  <c r="M85" i="33" s="1"/>
  <c r="K55" i="33"/>
  <c r="L55" i="33" s="1"/>
  <c r="M55" i="33" s="1"/>
  <c r="K81" i="33"/>
  <c r="L81" i="33" s="1"/>
  <c r="M81" i="33" s="1"/>
  <c r="K15" i="33"/>
  <c r="L15" i="33" s="1"/>
  <c r="M15" i="33" s="1"/>
  <c r="K66" i="33"/>
  <c r="L66" i="33" s="1"/>
  <c r="M66" i="33" s="1"/>
  <c r="K26" i="33"/>
  <c r="L26" i="33" s="1"/>
  <c r="M26" i="33" s="1"/>
  <c r="K65" i="33"/>
  <c r="L65" i="33" s="1"/>
  <c r="M65" i="33" s="1"/>
  <c r="K37" i="33"/>
  <c r="L37" i="33" s="1"/>
  <c r="M37" i="33" s="1"/>
  <c r="K63" i="33"/>
  <c r="L63" i="33" s="1"/>
  <c r="M63" i="33" s="1"/>
  <c r="K36" i="33"/>
  <c r="L36" i="33" s="1"/>
  <c r="M36" i="33" s="1"/>
  <c r="K86" i="33"/>
  <c r="L86" i="33" s="1"/>
  <c r="M86" i="33" s="1"/>
  <c r="K32" i="33"/>
  <c r="L32" i="33" s="1"/>
  <c r="M32" i="33" s="1"/>
  <c r="K67" i="33"/>
  <c r="L67" i="33" s="1"/>
  <c r="M67" i="33" s="1"/>
  <c r="K29" i="33"/>
  <c r="L29" i="33" s="1"/>
  <c r="M29" i="33" s="1"/>
  <c r="K69" i="33"/>
  <c r="L69" i="33" s="1"/>
  <c r="M69" i="33" s="1"/>
  <c r="K76" i="33"/>
  <c r="L76" i="33" s="1"/>
  <c r="M76" i="33" s="1"/>
  <c r="K70" i="33"/>
  <c r="L70" i="33" s="1"/>
  <c r="M70" i="33" s="1"/>
  <c r="K50" i="33"/>
  <c r="L50" i="33" s="1"/>
  <c r="M50" i="33" s="1"/>
  <c r="K46" i="33"/>
  <c r="L46" i="33" s="1"/>
  <c r="M46" i="33" s="1"/>
  <c r="K34" i="33"/>
  <c r="L34" i="33" s="1"/>
  <c r="M34" i="33" s="1"/>
  <c r="K21" i="33"/>
  <c r="L21" i="33" s="1"/>
  <c r="M21" i="33" s="1"/>
  <c r="K87" i="33"/>
  <c r="L87" i="33" s="1"/>
  <c r="M87" i="33" s="1"/>
  <c r="K17" i="33"/>
  <c r="L17" i="33" s="1"/>
  <c r="M17" i="33" s="1"/>
  <c r="K58" i="33"/>
  <c r="L58" i="33" s="1"/>
  <c r="M58" i="33" s="1"/>
  <c r="K47" i="33"/>
  <c r="L47" i="33" s="1"/>
  <c r="M47" i="33" s="1"/>
  <c r="K9" i="33"/>
  <c r="L9" i="33" s="1"/>
  <c r="M9" i="33" s="1"/>
  <c r="K20" i="33"/>
  <c r="L20" i="33" s="1"/>
  <c r="M20" i="33" s="1"/>
  <c r="K84" i="33"/>
  <c r="L84" i="33" s="1"/>
  <c r="M84" i="33" s="1"/>
  <c r="K61" i="33"/>
  <c r="L61" i="33" s="1"/>
  <c r="M61" i="33" s="1"/>
  <c r="K45" i="33"/>
  <c r="L45" i="33" s="1"/>
  <c r="M45" i="33" s="1"/>
  <c r="K83" i="33"/>
  <c r="L83" i="33" s="1"/>
  <c r="M83" i="33" s="1"/>
  <c r="K19" i="33"/>
  <c r="L19" i="33" s="1"/>
  <c r="M19" i="33" s="1"/>
  <c r="K23" i="33"/>
  <c r="L23" i="33" s="1"/>
  <c r="M23" i="33" s="1"/>
  <c r="K72" i="33"/>
  <c r="L72" i="33" s="1"/>
  <c r="M72" i="33" s="1"/>
  <c r="K51" i="33"/>
  <c r="L51" i="33" s="1"/>
  <c r="M51" i="33" s="1"/>
  <c r="K60" i="33"/>
  <c r="L60" i="33" s="1"/>
  <c r="M60" i="33" s="1"/>
  <c r="K74" i="33"/>
  <c r="L74" i="33" s="1"/>
  <c r="M74" i="33" s="1"/>
  <c r="K56" i="33"/>
  <c r="L56" i="33" s="1"/>
  <c r="M56" i="33" s="1"/>
  <c r="K42" i="33"/>
  <c r="L42" i="33" s="1"/>
  <c r="M42" i="33" s="1"/>
  <c r="K79" i="33"/>
  <c r="L79" i="33" s="1"/>
  <c r="M79" i="33" s="1"/>
  <c r="K78" i="33"/>
  <c r="L78" i="33" s="1"/>
  <c r="M78" i="33" s="1"/>
  <c r="K18" i="33"/>
  <c r="L18" i="33" s="1"/>
  <c r="M18" i="33" s="1"/>
  <c r="K14" i="33"/>
  <c r="L14" i="33" s="1"/>
  <c r="M14" i="33" s="1"/>
  <c r="K75" i="33"/>
  <c r="L75" i="33" s="1"/>
  <c r="M75" i="33" s="1"/>
  <c r="K77" i="33"/>
  <c r="L77" i="33" s="1"/>
  <c r="M77" i="33" s="1"/>
  <c r="K11" i="33"/>
  <c r="L11" i="33" s="1"/>
  <c r="M11" i="33" s="1"/>
  <c r="K62" i="33"/>
  <c r="L62" i="33" s="1"/>
  <c r="M62" i="33" s="1"/>
  <c r="K49" i="33"/>
  <c r="L49" i="33" s="1"/>
  <c r="M49" i="33" s="1"/>
  <c r="K10" i="33"/>
  <c r="L10" i="33" s="1"/>
  <c r="M10" i="33" s="1"/>
  <c r="K52" i="33"/>
  <c r="L52" i="33" s="1"/>
  <c r="M52" i="33" s="1"/>
  <c r="K73" i="33"/>
  <c r="L73" i="33" s="1"/>
  <c r="M73" i="33" s="1"/>
  <c r="K13" i="33"/>
  <c r="L13" i="33" s="1"/>
  <c r="M13" i="33" s="1"/>
  <c r="K41" i="33"/>
  <c r="L41" i="33" s="1"/>
  <c r="M41" i="33" s="1"/>
  <c r="K25" i="33"/>
  <c r="L25" i="33" s="1"/>
  <c r="M25" i="33" s="1"/>
  <c r="K16" i="33"/>
  <c r="L16" i="33" s="1"/>
  <c r="M16" i="33" s="1"/>
  <c r="K54" i="33"/>
  <c r="L54" i="33" s="1"/>
  <c r="M54" i="33" s="1"/>
  <c r="K82" i="33"/>
  <c r="L82" i="33" s="1"/>
  <c r="M82" i="33" s="1"/>
  <c r="K31" i="33"/>
  <c r="L31" i="33" s="1"/>
  <c r="M31" i="33" s="1"/>
  <c r="K8" i="33"/>
  <c r="L8" i="33" s="1"/>
  <c r="M8" i="33" s="1"/>
  <c r="K53" i="33"/>
  <c r="L53" i="33" s="1"/>
  <c r="M53" i="33" s="1"/>
  <c r="K30" i="33"/>
  <c r="L30" i="33" s="1"/>
  <c r="M30" i="33" s="1"/>
  <c r="K38" i="33"/>
  <c r="L38" i="33" s="1"/>
  <c r="M38" i="33" s="1"/>
  <c r="K33" i="33"/>
  <c r="L33" i="33" s="1"/>
  <c r="M33" i="33" s="1"/>
  <c r="K80" i="33"/>
  <c r="L80" i="33" s="1"/>
  <c r="M80" i="33" s="1"/>
  <c r="K59" i="33"/>
  <c r="L59" i="33" s="1"/>
  <c r="M59" i="33" s="1"/>
  <c r="K71" i="33"/>
  <c r="L71" i="33" s="1"/>
  <c r="M71" i="33" s="1"/>
  <c r="K40" i="33"/>
  <c r="L40" i="33" s="1"/>
  <c r="M40" i="33" s="1"/>
  <c r="K48" i="33"/>
  <c r="L48" i="33" s="1"/>
  <c r="M48" i="33" s="1"/>
  <c r="I68" i="26"/>
  <c r="K68" i="26" s="1"/>
  <c r="I92" i="26"/>
  <c r="K92" i="26" s="1"/>
  <c r="I77" i="26"/>
  <c r="K77" i="26" s="1"/>
  <c r="I87" i="26"/>
  <c r="K87" i="26" s="1"/>
  <c r="I78" i="26"/>
  <c r="K78" i="26" s="1"/>
  <c r="I24" i="26"/>
  <c r="K24" i="26" s="1"/>
  <c r="I88" i="26"/>
  <c r="K88" i="26" s="1"/>
  <c r="I73" i="26"/>
  <c r="K73" i="26" s="1"/>
  <c r="I50" i="26"/>
  <c r="K50" i="26" s="1"/>
  <c r="I35" i="26"/>
  <c r="K35" i="26" s="1"/>
  <c r="I52" i="26"/>
  <c r="K52" i="26" s="1"/>
  <c r="K14" i="26"/>
  <c r="I21" i="26"/>
  <c r="K21" i="26" s="1"/>
  <c r="I85" i="26"/>
  <c r="K85" i="26" s="1"/>
  <c r="I22" i="26"/>
  <c r="K22" i="26" s="1"/>
  <c r="I86" i="26"/>
  <c r="K86" i="26" s="1"/>
  <c r="I32" i="26"/>
  <c r="K32" i="26" s="1"/>
  <c r="I17" i="26"/>
  <c r="K17" i="26" s="1"/>
  <c r="I58" i="26"/>
  <c r="K58" i="26" s="1"/>
  <c r="I43" i="26"/>
  <c r="K43" i="26" s="1"/>
  <c r="I20" i="26"/>
  <c r="K20" i="26" s="1"/>
  <c r="I29" i="26"/>
  <c r="K29" i="26" s="1"/>
  <c r="I93" i="26"/>
  <c r="K93" i="26" s="1"/>
  <c r="I30" i="26"/>
  <c r="K30" i="26" s="1"/>
  <c r="I94" i="26"/>
  <c r="K94" i="26" s="1"/>
  <c r="I89" i="26"/>
  <c r="K89" i="26" s="1"/>
  <c r="I66" i="26"/>
  <c r="K66" i="26" s="1"/>
  <c r="I28" i="26"/>
  <c r="K28" i="26" s="1"/>
  <c r="I15" i="26"/>
  <c r="K15" i="26" s="1"/>
  <c r="I23" i="26"/>
  <c r="K23" i="26" s="1"/>
  <c r="I33" i="26"/>
  <c r="K33" i="26" s="1"/>
  <c r="I59" i="26"/>
  <c r="K59" i="26" s="1"/>
  <c r="I45" i="26"/>
  <c r="K45" i="26" s="1"/>
  <c r="I46" i="26"/>
  <c r="K46" i="26" s="1"/>
  <c r="I56" i="26"/>
  <c r="K56" i="26" s="1"/>
  <c r="I67" i="26"/>
  <c r="K67" i="26" s="1"/>
  <c r="I53" i="26"/>
  <c r="K53" i="26" s="1"/>
  <c r="I64" i="26"/>
  <c r="K64" i="26" s="1"/>
  <c r="I75" i="26"/>
  <c r="I61" i="26"/>
  <c r="K61" i="26" s="1"/>
  <c r="I31" i="26"/>
  <c r="K31" i="26" s="1"/>
  <c r="I19" i="26"/>
  <c r="K19" i="26" s="1"/>
  <c r="I70" i="26"/>
  <c r="K70" i="26" s="1"/>
  <c r="I65" i="26"/>
  <c r="K65" i="26" s="1"/>
  <c r="I91" i="26"/>
  <c r="K91" i="26" s="1"/>
  <c r="I81" i="26"/>
  <c r="K81" i="26" s="1"/>
  <c r="I25" i="26"/>
  <c r="K25" i="26" s="1"/>
  <c r="I51" i="26"/>
  <c r="K51" i="26" s="1"/>
  <c r="I37" i="26"/>
  <c r="K37" i="26" s="1"/>
  <c r="I38" i="26"/>
  <c r="K38" i="26" s="1"/>
  <c r="I48" i="26"/>
  <c r="K48" i="26" s="1"/>
  <c r="I36" i="26"/>
  <c r="K36" i="26" s="1"/>
  <c r="I39" i="26"/>
  <c r="K39" i="26" s="1"/>
  <c r="I18" i="26"/>
  <c r="K18" i="26" s="1"/>
  <c r="I55" i="26"/>
  <c r="K55" i="26" s="1"/>
  <c r="I49" i="26"/>
  <c r="K49" i="26" s="1"/>
  <c r="I71" i="26"/>
  <c r="K71" i="26" s="1"/>
  <c r="I34" i="26"/>
  <c r="K34" i="26" s="1"/>
  <c r="I84" i="26"/>
  <c r="K84" i="26" s="1"/>
  <c r="I16" i="26"/>
  <c r="K16" i="26" s="1"/>
  <c r="I27" i="26"/>
  <c r="K27" i="26" s="1"/>
  <c r="I40" i="26"/>
  <c r="K40" i="26" s="1"/>
  <c r="I60" i="26"/>
  <c r="K60" i="26" s="1"/>
  <c r="I47" i="26"/>
  <c r="K47" i="26" s="1"/>
  <c r="I41" i="26"/>
  <c r="K41" i="26" s="1"/>
  <c r="I54" i="26"/>
  <c r="K54" i="26" s="1"/>
  <c r="I26" i="26"/>
  <c r="K26" i="26" s="1"/>
  <c r="I76" i="26"/>
  <c r="K76" i="26" s="1"/>
  <c r="I57" i="26"/>
  <c r="K57" i="26" s="1"/>
  <c r="I79" i="26"/>
  <c r="K79" i="26" s="1"/>
  <c r="I42" i="26"/>
  <c r="K42" i="26" s="1"/>
  <c r="I74" i="26"/>
  <c r="K74" i="26" s="1"/>
  <c r="I82" i="26"/>
  <c r="K82" i="26" s="1"/>
  <c r="I44" i="26"/>
  <c r="K44" i="26" s="1"/>
  <c r="I63" i="26"/>
  <c r="K63" i="26" s="1"/>
  <c r="I90" i="26"/>
  <c r="K90" i="26" s="1"/>
  <c r="I62" i="26"/>
  <c r="K62" i="26" s="1"/>
  <c r="I72" i="26"/>
  <c r="K72" i="26" s="1"/>
  <c r="I83" i="26"/>
  <c r="K83" i="26" s="1"/>
  <c r="I69" i="26"/>
  <c r="K69" i="26" s="1"/>
  <c r="I80" i="26"/>
  <c r="K80" i="26" s="1"/>
  <c r="F7" i="45" l="1"/>
  <c r="F7" i="46"/>
  <c r="F29" i="45"/>
  <c r="F29" i="46"/>
  <c r="F36" i="45"/>
  <c r="F36" i="46"/>
  <c r="F80" i="45"/>
  <c r="F80" i="46"/>
  <c r="F41" i="45"/>
  <c r="F41" i="46"/>
  <c r="F63" i="45"/>
  <c r="F63" i="46"/>
  <c r="F49" i="45"/>
  <c r="F49" i="46"/>
  <c r="F59" i="45"/>
  <c r="F59" i="46"/>
  <c r="F51" i="45"/>
  <c r="F51" i="46"/>
  <c r="F45" i="45"/>
  <c r="F45" i="46"/>
  <c r="F56" i="45"/>
  <c r="F56" i="46"/>
  <c r="F31" i="45"/>
  <c r="F31" i="46"/>
  <c r="F39" i="45"/>
  <c r="F39" i="46"/>
  <c r="F82" i="45"/>
  <c r="F82" i="46"/>
  <c r="F85" i="45"/>
  <c r="F85" i="46"/>
  <c r="F77" i="45"/>
  <c r="F77" i="46"/>
  <c r="F73" i="45"/>
  <c r="F73" i="46"/>
  <c r="F75" i="45"/>
  <c r="F75" i="46"/>
  <c r="F34" i="45"/>
  <c r="F34" i="46"/>
  <c r="F64" i="45"/>
  <c r="F64" i="46"/>
  <c r="F30" i="45"/>
  <c r="F30" i="46"/>
  <c r="F38" i="45"/>
  <c r="F38" i="46"/>
  <c r="F87" i="45"/>
  <c r="F87" i="46"/>
  <c r="F43" i="45"/>
  <c r="F43" i="46"/>
  <c r="F61" i="45"/>
  <c r="F61" i="46"/>
  <c r="F42" i="45"/>
  <c r="F42" i="46"/>
  <c r="F54" i="45"/>
  <c r="F54" i="46"/>
  <c r="F52" i="45"/>
  <c r="F52" i="46"/>
  <c r="F79" i="45"/>
  <c r="F79" i="46"/>
  <c r="F58" i="45"/>
  <c r="F58" i="46"/>
  <c r="F47" i="45"/>
  <c r="F47" i="46"/>
  <c r="F35" i="45"/>
  <c r="F35" i="46"/>
  <c r="F53" i="45"/>
  <c r="F53" i="46"/>
  <c r="F48" i="45"/>
  <c r="F48" i="46"/>
  <c r="F86" i="45"/>
  <c r="F86" i="46"/>
  <c r="F81" i="45"/>
  <c r="F81" i="46"/>
  <c r="F83" i="45"/>
  <c r="F83" i="46"/>
  <c r="F37" i="45"/>
  <c r="F37" i="46"/>
  <c r="F40" i="45"/>
  <c r="F40" i="46"/>
  <c r="F76" i="45"/>
  <c r="F76" i="46"/>
  <c r="F72" i="45"/>
  <c r="F72" i="46"/>
  <c r="F74" i="45"/>
  <c r="F74" i="46"/>
  <c r="F57" i="45"/>
  <c r="F57" i="46"/>
  <c r="F78" i="45"/>
  <c r="F78" i="46"/>
  <c r="F60" i="45"/>
  <c r="F60" i="46"/>
  <c r="F62" i="45"/>
  <c r="F62" i="46"/>
  <c r="F44" i="45"/>
  <c r="F44" i="46"/>
  <c r="F65" i="45"/>
  <c r="F65" i="46"/>
  <c r="F33" i="45"/>
  <c r="F33" i="46"/>
  <c r="F55" i="45"/>
  <c r="F55" i="46"/>
  <c r="F50" i="45"/>
  <c r="F50" i="46"/>
  <c r="F32" i="45"/>
  <c r="F32" i="46"/>
  <c r="F84" i="45"/>
  <c r="F84" i="46"/>
  <c r="F46" i="45"/>
  <c r="F46" i="46"/>
  <c r="F9" i="45"/>
  <c r="F9" i="46"/>
  <c r="F19" i="45"/>
  <c r="F19" i="46"/>
  <c r="F10" i="45"/>
  <c r="F10" i="46"/>
  <c r="F21" i="45"/>
  <c r="F21" i="46"/>
  <c r="F12" i="45"/>
  <c r="F12" i="46"/>
  <c r="F24" i="45"/>
  <c r="F24" i="46"/>
  <c r="F23" i="45"/>
  <c r="F23" i="46"/>
  <c r="F18" i="45"/>
  <c r="F18" i="46"/>
  <c r="F15" i="45"/>
  <c r="F15" i="46"/>
  <c r="F11" i="45"/>
  <c r="F11" i="46"/>
  <c r="F16" i="45"/>
  <c r="F16" i="46"/>
  <c r="F22" i="45"/>
  <c r="F22" i="46"/>
  <c r="F17" i="45"/>
  <c r="F17" i="46"/>
  <c r="F20" i="45"/>
  <c r="F20" i="46"/>
  <c r="F8" i="45"/>
  <c r="F8" i="46"/>
  <c r="F13" i="45"/>
  <c r="F13" i="46"/>
  <c r="F14" i="45"/>
  <c r="F14" i="46"/>
  <c r="F28" i="45"/>
  <c r="F28" i="46"/>
  <c r="F27" i="45"/>
  <c r="F27" i="46"/>
  <c r="F26" i="45"/>
  <c r="F26" i="46"/>
  <c r="F25" i="45"/>
  <c r="F25" i="46"/>
  <c r="F71" i="45"/>
  <c r="F71" i="46"/>
  <c r="F69" i="45"/>
  <c r="F69" i="46"/>
  <c r="F70" i="45"/>
  <c r="F70" i="46"/>
  <c r="F67" i="45"/>
  <c r="F67" i="46"/>
  <c r="F66" i="45"/>
  <c r="F66" i="46"/>
  <c r="K75" i="26"/>
  <c r="K88" i="33"/>
  <c r="K89" i="33" s="1"/>
  <c r="F62" i="33"/>
  <c r="N62" i="33" s="1"/>
  <c r="O62" i="33" s="1"/>
  <c r="P62" i="33" s="1"/>
  <c r="F62" i="37"/>
  <c r="F79" i="33"/>
  <c r="F79" i="37"/>
  <c r="F53" i="33"/>
  <c r="F53" i="37"/>
  <c r="F15" i="33"/>
  <c r="F15" i="37"/>
  <c r="F16" i="33"/>
  <c r="N16" i="33" s="1"/>
  <c r="O16" i="33" s="1"/>
  <c r="P16" i="33" s="1"/>
  <c r="F16" i="37"/>
  <c r="F17" i="33"/>
  <c r="N17" i="33" s="1"/>
  <c r="O17" i="33" s="1"/>
  <c r="P17" i="33" s="1"/>
  <c r="F17" i="37"/>
  <c r="F67" i="33"/>
  <c r="F67" i="37"/>
  <c r="F23" i="33"/>
  <c r="N23" i="33" s="1"/>
  <c r="O23" i="33" s="1"/>
  <c r="P23" i="33" s="1"/>
  <c r="F23" i="37"/>
  <c r="F65" i="33"/>
  <c r="F65" i="37"/>
  <c r="F57" i="33"/>
  <c r="N57" i="33" s="1"/>
  <c r="O57" i="33" s="1"/>
  <c r="P57" i="33" s="1"/>
  <c r="F57" i="37"/>
  <c r="F50" i="33"/>
  <c r="F50" i="37"/>
  <c r="F20" i="33"/>
  <c r="F20" i="37"/>
  <c r="F32" i="33"/>
  <c r="N32" i="33" s="1"/>
  <c r="O32" i="33" s="1"/>
  <c r="P32" i="33" s="1"/>
  <c r="F32" i="37"/>
  <c r="F84" i="33"/>
  <c r="F84" i="37"/>
  <c r="F46" i="33"/>
  <c r="N46" i="33" s="1"/>
  <c r="O46" i="33" s="1"/>
  <c r="P46" i="33" s="1"/>
  <c r="F46" i="37"/>
  <c r="F8" i="33"/>
  <c r="F8" i="37"/>
  <c r="F71" i="33"/>
  <c r="F71" i="37"/>
  <c r="F44" i="33"/>
  <c r="N44" i="33" s="1"/>
  <c r="O44" i="33" s="1"/>
  <c r="P44" i="33" s="1"/>
  <c r="F44" i="37"/>
  <c r="F48" i="33"/>
  <c r="F48" i="37"/>
  <c r="F11" i="33"/>
  <c r="F11" i="37"/>
  <c r="F69" i="33"/>
  <c r="N69" i="33" s="1"/>
  <c r="O69" i="33" s="1"/>
  <c r="P69" i="33" s="1"/>
  <c r="F69" i="37"/>
  <c r="F21" i="33"/>
  <c r="N21" i="33" s="1"/>
  <c r="O21" i="33" s="1"/>
  <c r="P21" i="33" s="1"/>
  <c r="F21" i="37"/>
  <c r="F36" i="33"/>
  <c r="F36" i="37"/>
  <c r="F80" i="33"/>
  <c r="N80" i="33" s="1"/>
  <c r="O80" i="33" s="1"/>
  <c r="P80" i="33" s="1"/>
  <c r="F80" i="37"/>
  <c r="F54" i="33"/>
  <c r="N54" i="33" s="1"/>
  <c r="O54" i="33" s="1"/>
  <c r="P54" i="33" s="1"/>
  <c r="F54" i="37"/>
  <c r="F76" i="33"/>
  <c r="F76" i="37"/>
  <c r="F26" i="33"/>
  <c r="F26" i="37"/>
  <c r="F78" i="33"/>
  <c r="F78" i="37"/>
  <c r="F58" i="33"/>
  <c r="F58" i="37"/>
  <c r="F19" i="33"/>
  <c r="F19" i="37"/>
  <c r="F41" i="33"/>
  <c r="F41" i="37"/>
  <c r="F63" i="33"/>
  <c r="F63" i="37"/>
  <c r="F49" i="33"/>
  <c r="F49" i="37"/>
  <c r="F59" i="33"/>
  <c r="F59" i="37"/>
  <c r="F51" i="33"/>
  <c r="F51" i="37"/>
  <c r="F45" i="33"/>
  <c r="N45" i="33" s="1"/>
  <c r="O45" i="33" s="1"/>
  <c r="P45" i="33" s="1"/>
  <c r="F45" i="37"/>
  <c r="F70" i="33"/>
  <c r="N70" i="33" s="1"/>
  <c r="O70" i="33" s="1"/>
  <c r="P70" i="33" s="1"/>
  <c r="F70" i="37"/>
  <c r="F42" i="33"/>
  <c r="F42" i="37"/>
  <c r="F35" i="33"/>
  <c r="F35" i="37"/>
  <c r="F81" i="33"/>
  <c r="F81" i="37"/>
  <c r="F74" i="33"/>
  <c r="F74" i="37"/>
  <c r="F55" i="33"/>
  <c r="F55" i="37"/>
  <c r="F29" i="33"/>
  <c r="F29" i="37"/>
  <c r="F56" i="33"/>
  <c r="N56" i="33" s="1"/>
  <c r="O56" i="33" s="1"/>
  <c r="P56" i="33" s="1"/>
  <c r="F56" i="37"/>
  <c r="F77" i="33"/>
  <c r="F77" i="37"/>
  <c r="F37" i="33"/>
  <c r="F37" i="37"/>
  <c r="F31" i="33"/>
  <c r="F31" i="37"/>
  <c r="F82" i="33"/>
  <c r="F82" i="37"/>
  <c r="F10" i="33"/>
  <c r="F10" i="37"/>
  <c r="F28" i="33"/>
  <c r="F28" i="37"/>
  <c r="F40" i="33"/>
  <c r="F40" i="37"/>
  <c r="F66" i="33"/>
  <c r="F66" i="37"/>
  <c r="F18" i="33"/>
  <c r="F18" i="37"/>
  <c r="F22" i="33"/>
  <c r="N22" i="33" s="1"/>
  <c r="O22" i="33" s="1"/>
  <c r="P22" i="33" s="1"/>
  <c r="F22" i="37"/>
  <c r="F83" i="33"/>
  <c r="F83" i="37"/>
  <c r="F60" i="33"/>
  <c r="F60" i="37"/>
  <c r="F47" i="33"/>
  <c r="F47" i="37"/>
  <c r="F27" i="33"/>
  <c r="F27" i="37"/>
  <c r="F39" i="33"/>
  <c r="F39" i="37"/>
  <c r="F73" i="33"/>
  <c r="F73" i="37"/>
  <c r="F75" i="33"/>
  <c r="F75" i="37"/>
  <c r="F34" i="33"/>
  <c r="F34" i="37"/>
  <c r="F64" i="33"/>
  <c r="F64" i="37"/>
  <c r="F30" i="33"/>
  <c r="F30" i="37"/>
  <c r="F24" i="33"/>
  <c r="N24" i="33" s="1"/>
  <c r="O24" i="33" s="1"/>
  <c r="P24" i="33" s="1"/>
  <c r="F24" i="37"/>
  <c r="F38" i="33"/>
  <c r="N38" i="33" s="1"/>
  <c r="O38" i="33" s="1"/>
  <c r="P38" i="33" s="1"/>
  <c r="F38" i="37"/>
  <c r="F87" i="33"/>
  <c r="F87" i="37"/>
  <c r="F25" i="33"/>
  <c r="N25" i="33" s="1"/>
  <c r="O25" i="33" s="1"/>
  <c r="P25" i="33" s="1"/>
  <c r="F25" i="37"/>
  <c r="F43" i="33"/>
  <c r="F43" i="37"/>
  <c r="F61" i="33"/>
  <c r="F61" i="37"/>
  <c r="M7" i="33"/>
  <c r="L88" i="33"/>
  <c r="F7" i="33"/>
  <c r="F58" i="28"/>
  <c r="F53" i="28"/>
  <c r="F48" i="28"/>
  <c r="F67" i="28"/>
  <c r="F83" i="28"/>
  <c r="F37" i="28"/>
  <c r="F21" i="28"/>
  <c r="F56" i="28"/>
  <c r="F64" i="28"/>
  <c r="F28" i="28"/>
  <c r="F69" i="28"/>
  <c r="F82" i="28"/>
  <c r="F19" i="28"/>
  <c r="F79" i="28"/>
  <c r="F30" i="28"/>
  <c r="F31" i="28"/>
  <c r="F40" i="28"/>
  <c r="F17" i="28"/>
  <c r="F38" i="28"/>
  <c r="F57" i="28"/>
  <c r="F77" i="28"/>
  <c r="F45" i="28"/>
  <c r="F26" i="28"/>
  <c r="F42" i="28"/>
  <c r="F87" i="28"/>
  <c r="F20" i="28"/>
  <c r="F32" i="28"/>
  <c r="F23" i="28"/>
  <c r="F50" i="28"/>
  <c r="F39" i="28"/>
  <c r="F34" i="28"/>
  <c r="F11" i="28"/>
  <c r="F71" i="28"/>
  <c r="F27" i="28"/>
  <c r="F8" i="28"/>
  <c r="F51" i="28"/>
  <c r="F29" i="28"/>
  <c r="F61" i="28"/>
  <c r="F24" i="28"/>
  <c r="F80" i="28"/>
  <c r="F78" i="28"/>
  <c r="F16" i="28"/>
  <c r="F22" i="28"/>
  <c r="F76" i="28"/>
  <c r="F10" i="28"/>
  <c r="F47" i="28"/>
  <c r="F49" i="28"/>
  <c r="F75" i="28"/>
  <c r="F44" i="28"/>
  <c r="F60" i="28"/>
  <c r="F55" i="28"/>
  <c r="F15" i="28"/>
  <c r="F35" i="28"/>
  <c r="F81" i="28"/>
  <c r="F46" i="28"/>
  <c r="F18" i="28"/>
  <c r="F62" i="28"/>
  <c r="F74" i="28"/>
  <c r="F63" i="28"/>
  <c r="F43" i="28"/>
  <c r="F54" i="28"/>
  <c r="F36" i="28"/>
  <c r="F70" i="28"/>
  <c r="F84" i="28"/>
  <c r="F41" i="28"/>
  <c r="F73" i="28"/>
  <c r="F59" i="28"/>
  <c r="F25" i="28"/>
  <c r="F65" i="28"/>
  <c r="F66" i="28"/>
  <c r="I95" i="26"/>
  <c r="M88" i="33" l="1"/>
  <c r="L89" i="33"/>
  <c r="N87" i="33"/>
  <c r="O87" i="33" s="1"/>
  <c r="P87" i="33" s="1"/>
  <c r="N31" i="33"/>
  <c r="O31" i="33" s="1"/>
  <c r="P31" i="33" s="1"/>
  <c r="N41" i="33"/>
  <c r="O41" i="33" s="1"/>
  <c r="P41" i="33" s="1"/>
  <c r="N26" i="33"/>
  <c r="O26" i="33" s="1"/>
  <c r="P26" i="33" s="1"/>
  <c r="N36" i="33"/>
  <c r="O36" i="33" s="1"/>
  <c r="P36" i="33" s="1"/>
  <c r="N50" i="33"/>
  <c r="O50" i="33" s="1"/>
  <c r="P50" i="33" s="1"/>
  <c r="N67" i="33"/>
  <c r="O67" i="33" s="1"/>
  <c r="P67" i="33" s="1"/>
  <c r="N53" i="33"/>
  <c r="O53" i="33" s="1"/>
  <c r="P53" i="33" s="1"/>
  <c r="N29" i="33"/>
  <c r="O29" i="33" s="1"/>
  <c r="P29" i="33" s="1"/>
  <c r="N27" i="33"/>
  <c r="O27" i="33" s="1"/>
  <c r="P27" i="33" s="1"/>
  <c r="N28" i="33"/>
  <c r="O28" i="33" s="1"/>
  <c r="P28" i="33" s="1"/>
  <c r="N55" i="33"/>
  <c r="O55" i="33" s="1"/>
  <c r="P55" i="33" s="1"/>
  <c r="N59" i="33"/>
  <c r="O59" i="33" s="1"/>
  <c r="P59" i="33" s="1"/>
  <c r="N76" i="33"/>
  <c r="O76" i="33" s="1"/>
  <c r="P76" i="33" s="1"/>
  <c r="N84" i="33"/>
  <c r="O84" i="33" s="1"/>
  <c r="P84" i="33" s="1"/>
  <c r="N79" i="33"/>
  <c r="O79" i="33" s="1"/>
  <c r="P79" i="33" s="1"/>
  <c r="N64" i="33"/>
  <c r="O64" i="33" s="1"/>
  <c r="P64" i="33" s="1"/>
  <c r="N35" i="33"/>
  <c r="O35" i="33" s="1"/>
  <c r="P35" i="33" s="1"/>
  <c r="N61" i="33"/>
  <c r="O61" i="33" s="1"/>
  <c r="P61" i="33" s="1"/>
  <c r="N34" i="33"/>
  <c r="O34" i="33" s="1"/>
  <c r="P34" i="33" s="1"/>
  <c r="N37" i="33"/>
  <c r="O37" i="33" s="1"/>
  <c r="P37" i="33" s="1"/>
  <c r="N42" i="33"/>
  <c r="O42" i="33" s="1"/>
  <c r="P42" i="33" s="1"/>
  <c r="N19" i="33"/>
  <c r="O19" i="33" s="1"/>
  <c r="P19" i="33" s="1"/>
  <c r="N40" i="33"/>
  <c r="O40" i="33" s="1"/>
  <c r="P40" i="33" s="1"/>
  <c r="N47" i="33"/>
  <c r="O47" i="33" s="1"/>
  <c r="P47" i="33" s="1"/>
  <c r="N10" i="33"/>
  <c r="O10" i="33" s="1"/>
  <c r="P10" i="33" s="1"/>
  <c r="N74" i="33"/>
  <c r="O74" i="33" s="1"/>
  <c r="P74" i="33" s="1"/>
  <c r="N49" i="33"/>
  <c r="O49" i="33" s="1"/>
  <c r="P49" i="33" s="1"/>
  <c r="N58" i="33"/>
  <c r="O58" i="33" s="1"/>
  <c r="P58" i="33" s="1"/>
  <c r="N71" i="33"/>
  <c r="O71" i="33" s="1"/>
  <c r="P71" i="33" s="1"/>
  <c r="N65" i="33"/>
  <c r="O65" i="33" s="1"/>
  <c r="P65" i="33" s="1"/>
  <c r="N39" i="33"/>
  <c r="O39" i="33" s="1"/>
  <c r="P39" i="33" s="1"/>
  <c r="N51" i="33"/>
  <c r="O51" i="33" s="1"/>
  <c r="P51" i="33" s="1"/>
  <c r="N48" i="33"/>
  <c r="O48" i="33" s="1"/>
  <c r="P48" i="33" s="1"/>
  <c r="N43" i="33"/>
  <c r="O43" i="33" s="1"/>
  <c r="P43" i="33" s="1"/>
  <c r="N75" i="33"/>
  <c r="O75" i="33" s="1"/>
  <c r="P75" i="33" s="1"/>
  <c r="N18" i="33"/>
  <c r="O18" i="33" s="1"/>
  <c r="P18" i="33" s="1"/>
  <c r="N77" i="33"/>
  <c r="O77" i="33" s="1"/>
  <c r="P77" i="33" s="1"/>
  <c r="N83" i="33"/>
  <c r="O83" i="33" s="1"/>
  <c r="P83" i="33" s="1"/>
  <c r="N7" i="33"/>
  <c r="O7" i="33" s="1"/>
  <c r="N30" i="33"/>
  <c r="O30" i="33" s="1"/>
  <c r="P30" i="33" s="1"/>
  <c r="N73" i="33"/>
  <c r="O73" i="33" s="1"/>
  <c r="P73" i="33" s="1"/>
  <c r="N60" i="33"/>
  <c r="O60" i="33" s="1"/>
  <c r="P60" i="33" s="1"/>
  <c r="N66" i="33"/>
  <c r="O66" i="33" s="1"/>
  <c r="P66" i="33" s="1"/>
  <c r="N82" i="33"/>
  <c r="O82" i="33" s="1"/>
  <c r="P82" i="33" s="1"/>
  <c r="N81" i="33"/>
  <c r="O81" i="33" s="1"/>
  <c r="P81" i="33" s="1"/>
  <c r="N63" i="33"/>
  <c r="O63" i="33" s="1"/>
  <c r="P63" i="33" s="1"/>
  <c r="N78" i="33"/>
  <c r="O78" i="33" s="1"/>
  <c r="P78" i="33" s="1"/>
  <c r="N11" i="33"/>
  <c r="O11" i="33" s="1"/>
  <c r="P11" i="33" s="1"/>
  <c r="N8" i="33"/>
  <c r="O8" i="33" s="1"/>
  <c r="P8" i="33" s="1"/>
  <c r="N20" i="33"/>
  <c r="O20" i="33" s="1"/>
  <c r="P20" i="33" s="1"/>
  <c r="N15" i="33"/>
  <c r="O15" i="33" s="1"/>
  <c r="P15" i="33" s="1"/>
  <c r="F68" i="46"/>
  <c r="F68" i="45"/>
  <c r="F68" i="37"/>
  <c r="F68" i="33"/>
  <c r="N68" i="33" s="1"/>
  <c r="O68" i="33" s="1"/>
  <c r="P68" i="33" s="1"/>
  <c r="F68" i="28"/>
  <c r="F7" i="28"/>
  <c r="F7" i="37"/>
  <c r="F86" i="33"/>
  <c r="N86" i="33" s="1"/>
  <c r="O86" i="33" s="1"/>
  <c r="P86" i="33" s="1"/>
  <c r="F86" i="37"/>
  <c r="F72" i="33"/>
  <c r="F72" i="37"/>
  <c r="F12" i="33"/>
  <c r="F12" i="37"/>
  <c r="F9" i="33"/>
  <c r="N9" i="33" s="1"/>
  <c r="O9" i="33" s="1"/>
  <c r="P9" i="33" s="1"/>
  <c r="F9" i="37"/>
  <c r="F13" i="33"/>
  <c r="F13" i="37"/>
  <c r="F33" i="33"/>
  <c r="F33" i="37"/>
  <c r="F85" i="33"/>
  <c r="N85" i="33" s="1"/>
  <c r="O85" i="33" s="1"/>
  <c r="P85" i="33" s="1"/>
  <c r="F85" i="37"/>
  <c r="F14" i="33"/>
  <c r="N14" i="33" s="1"/>
  <c r="O14" i="33" s="1"/>
  <c r="P14" i="33" s="1"/>
  <c r="F14" i="37"/>
  <c r="F52" i="33"/>
  <c r="F52" i="37"/>
  <c r="F9" i="28"/>
  <c r="F52" i="28"/>
  <c r="F33" i="28"/>
  <c r="F85" i="28"/>
  <c r="F72" i="28"/>
  <c r="F13" i="28"/>
  <c r="F86" i="28"/>
  <c r="F14" i="28"/>
  <c r="F12" i="28"/>
  <c r="K95" i="26"/>
  <c r="P7" i="33" l="1"/>
  <c r="N52" i="33"/>
  <c r="O52" i="33"/>
  <c r="P52" i="33" s="1"/>
  <c r="N12" i="33"/>
  <c r="N13" i="33"/>
  <c r="O13" i="33" s="1"/>
  <c r="P13" i="33" s="1"/>
  <c r="N33" i="33"/>
  <c r="O33" i="33" s="1"/>
  <c r="P33" i="33" s="1"/>
  <c r="N72" i="33"/>
  <c r="O72" i="33" s="1"/>
  <c r="P72" i="33" s="1"/>
  <c r="F88" i="45"/>
  <c r="F88" i="46"/>
  <c r="F88" i="33"/>
  <c r="F88" i="37"/>
  <c r="F89" i="37" s="1"/>
  <c r="F88" i="28"/>
  <c r="F89" i="33" l="1"/>
  <c r="F89" i="45"/>
  <c r="F89" i="46"/>
  <c r="N88" i="33"/>
  <c r="N89" i="33" s="1"/>
  <c r="O12" i="33"/>
  <c r="F89" i="28"/>
  <c r="N96" i="9"/>
  <c r="K65" i="10"/>
  <c r="K30" i="10"/>
  <c r="K24" i="10"/>
  <c r="K72" i="10"/>
  <c r="K34" i="10"/>
  <c r="K22" i="10"/>
  <c r="K25" i="10"/>
  <c r="K23" i="10"/>
  <c r="K61" i="10"/>
  <c r="K87" i="10"/>
  <c r="K59" i="10"/>
  <c r="K71" i="10"/>
  <c r="K69" i="10"/>
  <c r="K67" i="10"/>
  <c r="K70" i="10"/>
  <c r="K80" i="10"/>
  <c r="K40" i="10"/>
  <c r="K78" i="10"/>
  <c r="K29" i="10"/>
  <c r="K49" i="10"/>
  <c r="K81" i="10"/>
  <c r="K46" i="10"/>
  <c r="K91" i="10"/>
  <c r="K21" i="10"/>
  <c r="K31" i="10"/>
  <c r="K86" i="10"/>
  <c r="K43" i="10"/>
  <c r="K45" i="10"/>
  <c r="K55" i="10"/>
  <c r="K89" i="10"/>
  <c r="K88" i="10"/>
  <c r="K20" i="10"/>
  <c r="K48" i="10"/>
  <c r="K75" i="10"/>
  <c r="K19" i="10"/>
  <c r="K32" i="10"/>
  <c r="K82" i="10"/>
  <c r="K26" i="10"/>
  <c r="K47" i="10"/>
  <c r="K90" i="10"/>
  <c r="K94" i="10"/>
  <c r="K18" i="10"/>
  <c r="K95" i="10"/>
  <c r="K17" i="10"/>
  <c r="K63" i="10"/>
  <c r="K52" i="10"/>
  <c r="K76" i="10"/>
  <c r="K83" i="10"/>
  <c r="K79" i="10"/>
  <c r="K53" i="10"/>
  <c r="K44" i="10"/>
  <c r="K93" i="10"/>
  <c r="K57" i="10"/>
  <c r="K77" i="10"/>
  <c r="K42" i="10"/>
  <c r="K68" i="10"/>
  <c r="K36" i="10"/>
  <c r="K58" i="10"/>
  <c r="K38" i="10"/>
  <c r="K27" i="10"/>
  <c r="K41" i="10"/>
  <c r="K54" i="10"/>
  <c r="K73" i="10"/>
  <c r="K92" i="10"/>
  <c r="K33" i="10"/>
  <c r="K62" i="10"/>
  <c r="K50" i="10"/>
  <c r="K60" i="10"/>
  <c r="K84" i="10"/>
  <c r="K35" i="10"/>
  <c r="K37" i="10"/>
  <c r="K39" i="10"/>
  <c r="K64" i="10"/>
  <c r="K56" i="10"/>
  <c r="K85" i="10"/>
  <c r="K74" i="10"/>
  <c r="K16" i="10"/>
  <c r="K66" i="10"/>
  <c r="K28" i="10"/>
  <c r="K15" i="10"/>
  <c r="K51" i="10"/>
  <c r="P12" i="33" l="1"/>
  <c r="O88" i="33"/>
  <c r="P88" i="33" s="1"/>
  <c r="K96" i="10"/>
  <c r="K41" i="14"/>
  <c r="K39" i="14"/>
  <c r="K71" i="14"/>
  <c r="K89" i="14"/>
  <c r="K34" i="14"/>
  <c r="K92" i="14"/>
  <c r="K83" i="14"/>
  <c r="K44" i="14"/>
  <c r="K40" i="14"/>
  <c r="K78" i="14"/>
  <c r="K53" i="14"/>
  <c r="K94" i="14"/>
  <c r="K61" i="14"/>
  <c r="K54" i="14"/>
  <c r="K60" i="14"/>
  <c r="K26" i="14"/>
  <c r="K91" i="14"/>
  <c r="K95" i="14"/>
  <c r="K74" i="14"/>
  <c r="K18" i="14"/>
  <c r="K80" i="14"/>
  <c r="K82" i="14"/>
  <c r="K35" i="14"/>
  <c r="K22" i="14"/>
  <c r="K76" i="14"/>
  <c r="K84" i="14"/>
  <c r="K48" i="14"/>
  <c r="K42" i="14"/>
  <c r="K52" i="14"/>
  <c r="K28" i="14"/>
  <c r="K25" i="14"/>
  <c r="K73" i="14"/>
  <c r="K72" i="14"/>
  <c r="K77" i="14"/>
  <c r="K68" i="14"/>
  <c r="K56" i="14"/>
  <c r="K58" i="14"/>
  <c r="K20" i="14"/>
  <c r="K38" i="14"/>
  <c r="K24" i="14"/>
  <c r="K49" i="14"/>
  <c r="K33" i="14"/>
  <c r="K87" i="14"/>
  <c r="K37" i="14"/>
  <c r="K47" i="14"/>
  <c r="K75" i="14"/>
  <c r="K46" i="14"/>
  <c r="K30" i="14"/>
  <c r="K31" i="14"/>
  <c r="K63" i="14"/>
  <c r="K45" i="14"/>
  <c r="K79" i="14"/>
  <c r="K59" i="14"/>
  <c r="K69" i="14"/>
  <c r="K27" i="14"/>
  <c r="K66" i="14"/>
  <c r="K62" i="14"/>
  <c r="K88" i="14"/>
  <c r="K43" i="14"/>
  <c r="K29" i="14"/>
  <c r="K32" i="14"/>
  <c r="K67" i="14"/>
  <c r="K85" i="14"/>
  <c r="K19" i="14"/>
  <c r="K55" i="14"/>
  <c r="K17" i="14"/>
  <c r="K21" i="14"/>
  <c r="K93" i="14"/>
  <c r="K57" i="14"/>
  <c r="K81" i="14"/>
  <c r="K50" i="14"/>
  <c r="K70" i="14"/>
  <c r="K51" i="14"/>
  <c r="K36" i="14"/>
  <c r="K15" i="14"/>
  <c r="K65" i="14"/>
  <c r="K90" i="14"/>
  <c r="K23" i="14"/>
  <c r="K64" i="14"/>
  <c r="K86" i="14"/>
  <c r="K16" i="14"/>
  <c r="K96" i="14" l="1"/>
  <c r="K34" i="11"/>
  <c r="K20" i="11"/>
  <c r="K45" i="11"/>
  <c r="K51" i="11"/>
  <c r="K38" i="11"/>
  <c r="K85" i="11"/>
  <c r="K91" i="11"/>
  <c r="K27" i="11"/>
  <c r="K59" i="11"/>
  <c r="K24" i="11"/>
  <c r="K86" i="11"/>
  <c r="K39" i="11"/>
  <c r="K46" i="11"/>
  <c r="K95" i="11"/>
  <c r="K94" i="11"/>
  <c r="K80" i="11"/>
  <c r="K18" i="11"/>
  <c r="K75" i="11"/>
  <c r="K50" i="11"/>
  <c r="K48" i="11"/>
  <c r="K37" i="11"/>
  <c r="K81" i="11"/>
  <c r="K65" i="11"/>
  <c r="K58" i="11"/>
  <c r="K15" i="11"/>
  <c r="K49" i="11"/>
  <c r="K70" i="11"/>
  <c r="K32" i="11"/>
  <c r="K23" i="11"/>
  <c r="K25" i="11"/>
  <c r="K55" i="11"/>
  <c r="K19" i="11"/>
  <c r="K16" i="11"/>
  <c r="K26" i="11"/>
  <c r="K21" i="11"/>
  <c r="K84" i="11"/>
  <c r="K44" i="11"/>
  <c r="K54" i="11"/>
  <c r="K76" i="11"/>
  <c r="K52" i="11"/>
  <c r="K42" i="11"/>
  <c r="K67" i="11"/>
  <c r="K36" i="11"/>
  <c r="K53" i="11"/>
  <c r="K89" i="11"/>
  <c r="K71" i="11"/>
  <c r="K79" i="11"/>
  <c r="K64" i="11"/>
  <c r="K74" i="11"/>
  <c r="K88" i="11"/>
  <c r="K57" i="11"/>
  <c r="K90" i="11"/>
  <c r="K22" i="11"/>
  <c r="K66" i="11"/>
  <c r="K33" i="11"/>
  <c r="K29" i="11"/>
  <c r="K63" i="11"/>
  <c r="K61" i="11"/>
  <c r="K73" i="11"/>
  <c r="K68" i="11"/>
  <c r="K72" i="11"/>
  <c r="K17" i="11"/>
  <c r="K93" i="11"/>
  <c r="K47" i="11"/>
  <c r="K62" i="11"/>
  <c r="K92" i="11"/>
  <c r="K30" i="11"/>
  <c r="K82" i="11"/>
  <c r="K35" i="11"/>
  <c r="K31" i="11"/>
  <c r="K78" i="11"/>
  <c r="K69" i="11"/>
  <c r="K43" i="11"/>
  <c r="K83" i="11"/>
  <c r="K41" i="11"/>
  <c r="K60" i="11"/>
  <c r="K40" i="11"/>
  <c r="K56" i="11"/>
  <c r="K87" i="11"/>
  <c r="K28" i="11"/>
  <c r="K77" i="11"/>
  <c r="K96" i="11" l="1"/>
  <c r="K33" i="12"/>
  <c r="K86" i="12"/>
  <c r="K77" i="12"/>
  <c r="K48" i="12"/>
  <c r="K55" i="12"/>
  <c r="K47" i="12"/>
  <c r="K59" i="12"/>
  <c r="K51" i="12"/>
  <c r="K29" i="12"/>
  <c r="K38" i="12"/>
  <c r="K72" i="12"/>
  <c r="K34" i="12"/>
  <c r="K93" i="12"/>
  <c r="K37" i="12"/>
  <c r="K95" i="12"/>
  <c r="K35" i="12"/>
  <c r="K63" i="12"/>
  <c r="K80" i="12"/>
  <c r="K90" i="12"/>
  <c r="K65" i="12"/>
  <c r="K84" i="12"/>
  <c r="K53" i="12"/>
  <c r="K91" i="12"/>
  <c r="K81" i="12"/>
  <c r="K74" i="12"/>
  <c r="K71" i="12"/>
  <c r="K22" i="12"/>
  <c r="K57" i="12"/>
  <c r="K75" i="12"/>
  <c r="K56" i="12"/>
  <c r="K30" i="12"/>
  <c r="K73" i="12"/>
  <c r="K60" i="12"/>
  <c r="K23" i="12"/>
  <c r="K83" i="12"/>
  <c r="K39" i="12"/>
  <c r="K26" i="12"/>
  <c r="K67" i="12"/>
  <c r="K43" i="12"/>
  <c r="K36" i="12"/>
  <c r="K46" i="12"/>
  <c r="K94" i="12"/>
  <c r="K31" i="12"/>
  <c r="K17" i="12"/>
  <c r="K68" i="12"/>
  <c r="K21" i="12"/>
  <c r="K42" i="12"/>
  <c r="K49" i="12"/>
  <c r="K24" i="12"/>
  <c r="K79" i="12"/>
  <c r="K44" i="12"/>
  <c r="K64" i="12"/>
  <c r="K61" i="12"/>
  <c r="K16" i="12"/>
  <c r="K89" i="12"/>
  <c r="K28" i="12"/>
  <c r="K50" i="12"/>
  <c r="K70" i="12"/>
  <c r="K88" i="12"/>
  <c r="K15" i="12"/>
  <c r="K66" i="12"/>
  <c r="K27" i="12"/>
  <c r="K76" i="12"/>
  <c r="K18" i="12"/>
  <c r="K41" i="12"/>
  <c r="K20" i="12"/>
  <c r="K45" i="12"/>
  <c r="K40" i="12"/>
  <c r="K87" i="12"/>
  <c r="K69" i="12"/>
  <c r="K62" i="12"/>
  <c r="K78" i="12"/>
  <c r="K25" i="12"/>
  <c r="K32" i="12"/>
  <c r="K19" i="12"/>
  <c r="K52" i="12"/>
  <c r="K54" i="12"/>
  <c r="K58" i="12"/>
  <c r="K92" i="12"/>
  <c r="K85" i="12"/>
  <c r="K82" i="12"/>
  <c r="K96" i="12" l="1"/>
  <c r="O15" i="17" l="1"/>
  <c r="B5" i="20" s="1"/>
  <c r="O30" i="17"/>
  <c r="B20" i="20" s="1"/>
  <c r="O28" i="17"/>
  <c r="B18" i="20" s="1"/>
  <c r="O57" i="17"/>
  <c r="B47" i="20" s="1"/>
  <c r="O23" i="17"/>
  <c r="B13" i="20" s="1"/>
  <c r="O92" i="17"/>
  <c r="B82" i="20" s="1"/>
  <c r="O54" i="17"/>
  <c r="B44" i="20" s="1"/>
  <c r="O46" i="17"/>
  <c r="B36" i="20" s="1"/>
  <c r="O76" i="17"/>
  <c r="B66" i="20" s="1"/>
  <c r="O36" i="17"/>
  <c r="B26" i="20" s="1"/>
  <c r="O63" i="17"/>
  <c r="B53" i="20" s="1"/>
  <c r="O82" i="17"/>
  <c r="B72" i="20" s="1"/>
  <c r="O31" i="17"/>
  <c r="B21" i="20" s="1"/>
  <c r="O75" i="17"/>
  <c r="B65" i="20" s="1"/>
  <c r="O42" i="17"/>
  <c r="B32" i="20" s="1"/>
  <c r="O45" i="17"/>
  <c r="B35" i="20" s="1"/>
  <c r="O85" i="17"/>
  <c r="B75" i="20" s="1"/>
  <c r="O21" i="17"/>
  <c r="B11" i="20" s="1"/>
  <c r="O86" i="17"/>
  <c r="B76" i="20" s="1"/>
  <c r="O41" i="17"/>
  <c r="B31" i="20" s="1"/>
  <c r="O19" i="17"/>
  <c r="B9" i="20" s="1"/>
  <c r="O56" i="17"/>
  <c r="B46" i="20" s="1"/>
  <c r="O66" i="17"/>
  <c r="B56" i="20" s="1"/>
  <c r="O65" i="17"/>
  <c r="B55" i="20" s="1"/>
  <c r="O59" i="17"/>
  <c r="B49" i="20" s="1"/>
  <c r="O26" i="17"/>
  <c r="B16" i="20" s="1"/>
  <c r="O68" i="17"/>
  <c r="B58" i="20" s="1"/>
  <c r="O80" i="17"/>
  <c r="B70" i="20" s="1"/>
  <c r="O35" i="17"/>
  <c r="B25" i="20" s="1"/>
  <c r="O32" i="17"/>
  <c r="B22" i="20" s="1"/>
  <c r="O51" i="17"/>
  <c r="B41" i="20" s="1"/>
  <c r="O43" i="17"/>
  <c r="B33" i="20" s="1"/>
  <c r="O25" i="17"/>
  <c r="B15" i="20" s="1"/>
  <c r="O95" i="17"/>
  <c r="B85" i="20" s="1"/>
  <c r="O72" i="17"/>
  <c r="B62" i="20" s="1"/>
  <c r="O52" i="17"/>
  <c r="B42" i="20" s="1"/>
  <c r="O73" i="17"/>
  <c r="B63" i="20" s="1"/>
  <c r="O91" i="17"/>
  <c r="B81" i="20" s="1"/>
  <c r="O39" i="17"/>
  <c r="B29" i="20" s="1"/>
  <c r="O47" i="17"/>
  <c r="B37" i="20" s="1"/>
  <c r="O27" i="17"/>
  <c r="B17" i="20" s="1"/>
  <c r="N96" i="17"/>
  <c r="O55" i="17"/>
  <c r="B45" i="20" s="1"/>
  <c r="O20" i="17"/>
  <c r="B10" i="20" s="1"/>
  <c r="O48" i="17"/>
  <c r="B38" i="20" s="1"/>
  <c r="O37" i="17"/>
  <c r="B27" i="20" s="1"/>
  <c r="O71" i="17"/>
  <c r="B61" i="20" s="1"/>
  <c r="O70" i="17"/>
  <c r="B60" i="20" s="1"/>
  <c r="O29" i="17"/>
  <c r="B19" i="20" s="1"/>
  <c r="O74" i="17"/>
  <c r="B64" i="20" s="1"/>
  <c r="O61" i="17"/>
  <c r="B51" i="20" s="1"/>
  <c r="O89" i="17"/>
  <c r="B79" i="20" s="1"/>
  <c r="O88" i="17"/>
  <c r="B78" i="20" s="1"/>
  <c r="O53" i="17"/>
  <c r="B43" i="20" s="1"/>
  <c r="O58" i="17"/>
  <c r="B48" i="20" s="1"/>
  <c r="O87" i="17"/>
  <c r="B77" i="20" s="1"/>
  <c r="O22" i="17"/>
  <c r="B12" i="20" s="1"/>
  <c r="O67" i="17"/>
  <c r="B57" i="20" s="1"/>
  <c r="O34" i="17"/>
  <c r="B24" i="20" s="1"/>
  <c r="O44" i="17"/>
  <c r="B34" i="20" s="1"/>
  <c r="O17" i="17"/>
  <c r="B7" i="20" s="1"/>
  <c r="J96" i="17"/>
  <c r="O38" i="17"/>
  <c r="B28" i="20" s="1"/>
  <c r="O69" i="17"/>
  <c r="B59" i="20" s="1"/>
  <c r="L96" i="17"/>
  <c r="O79" i="17"/>
  <c r="B69" i="20" s="1"/>
  <c r="O49" i="17"/>
  <c r="B39" i="20" s="1"/>
  <c r="O40" i="17"/>
  <c r="B30" i="20" s="1"/>
  <c r="O33" i="17"/>
  <c r="B23" i="20" s="1"/>
  <c r="H96" i="17"/>
  <c r="O94" i="17"/>
  <c r="B84" i="20" s="1"/>
  <c r="O81" i="17"/>
  <c r="B71" i="20" s="1"/>
  <c r="O62" i="17"/>
  <c r="B52" i="20" s="1"/>
  <c r="O83" i="17"/>
  <c r="B73" i="20" s="1"/>
  <c r="O78" i="17"/>
  <c r="B68" i="20" s="1"/>
  <c r="O16" i="17"/>
  <c r="B6" i="20" s="1"/>
  <c r="O64" i="17"/>
  <c r="B54" i="20" s="1"/>
  <c r="O18" i="17"/>
  <c r="B8" i="20" s="1"/>
  <c r="O50" i="17"/>
  <c r="B40" i="20" s="1"/>
  <c r="O93" i="17"/>
  <c r="B83" i="20" s="1"/>
  <c r="O84" i="17"/>
  <c r="B74" i="20" s="1"/>
  <c r="O60" i="17"/>
  <c r="B50" i="20" s="1"/>
  <c r="O77" i="17"/>
  <c r="B67" i="20" s="1"/>
  <c r="O24" i="17"/>
  <c r="B14" i="20" s="1"/>
  <c r="O90" i="17"/>
  <c r="B80" i="20" s="1"/>
  <c r="F96" i="17"/>
  <c r="B86" i="20" l="1"/>
  <c r="O96" i="17"/>
  <c r="C53" i="20"/>
  <c r="G53" i="20" s="1"/>
  <c r="C41" i="20"/>
  <c r="G41" i="20" s="1"/>
  <c r="C56" i="20"/>
  <c r="G56" i="20" s="1"/>
  <c r="C34" i="20"/>
  <c r="G34" i="20" s="1"/>
  <c r="C79" i="20"/>
  <c r="G79" i="20" s="1"/>
  <c r="C80" i="20"/>
  <c r="G80" i="20" s="1"/>
  <c r="C30" i="20"/>
  <c r="G30" i="20" s="1"/>
  <c r="C18" i="20"/>
  <c r="G18" i="20" s="1"/>
  <c r="C76" i="20"/>
  <c r="G76" i="20" s="1"/>
  <c r="C43" i="20"/>
  <c r="G43" i="20" s="1"/>
  <c r="C84" i="20"/>
  <c r="G84" i="20" s="1"/>
  <c r="C13" i="20"/>
  <c r="G13" i="20" s="1"/>
  <c r="C19" i="20"/>
  <c r="G19" i="20" s="1"/>
  <c r="C10" i="20"/>
  <c r="G10" i="20" s="1"/>
  <c r="C6" i="20"/>
  <c r="G6" i="20" s="1"/>
  <c r="D86" i="45" l="1"/>
  <c r="G86" i="45" s="1"/>
  <c r="D86" i="46"/>
  <c r="G86" i="46" s="1"/>
  <c r="D12" i="45"/>
  <c r="G12" i="45" s="1"/>
  <c r="D12" i="46"/>
  <c r="G12" i="46" s="1"/>
  <c r="D81" i="45"/>
  <c r="G81" i="45" s="1"/>
  <c r="D81" i="46"/>
  <c r="G81" i="46" s="1"/>
  <c r="D36" i="45"/>
  <c r="G36" i="45" s="1"/>
  <c r="D36" i="46"/>
  <c r="G36" i="46" s="1"/>
  <c r="D58" i="45"/>
  <c r="G58" i="45" s="1"/>
  <c r="D58" i="46"/>
  <c r="G58" i="46" s="1"/>
  <c r="D45" i="45"/>
  <c r="G45" i="45" s="1"/>
  <c r="D45" i="46"/>
  <c r="G45" i="46" s="1"/>
  <c r="D43" i="45"/>
  <c r="G43" i="45" s="1"/>
  <c r="D43" i="46"/>
  <c r="G43" i="46" s="1"/>
  <c r="D78" i="45"/>
  <c r="G78" i="45" s="1"/>
  <c r="D78" i="46"/>
  <c r="G78" i="46" s="1"/>
  <c r="D55" i="45"/>
  <c r="G55" i="45" s="1"/>
  <c r="D55" i="46"/>
  <c r="G55" i="46" s="1"/>
  <c r="D82" i="45"/>
  <c r="G82" i="45" s="1"/>
  <c r="D82" i="46"/>
  <c r="G82" i="46" s="1"/>
  <c r="D15" i="45"/>
  <c r="G15" i="45" s="1"/>
  <c r="D15" i="46"/>
  <c r="G15" i="46" s="1"/>
  <c r="D20" i="45"/>
  <c r="G20" i="45" s="1"/>
  <c r="D20" i="46"/>
  <c r="G20" i="46" s="1"/>
  <c r="D21" i="45"/>
  <c r="G21" i="45" s="1"/>
  <c r="D21" i="46"/>
  <c r="G21" i="46" s="1"/>
  <c r="D8" i="45"/>
  <c r="G8" i="45" s="1"/>
  <c r="D8" i="46"/>
  <c r="G8" i="46" s="1"/>
  <c r="D32" i="45"/>
  <c r="G32" i="45" s="1"/>
  <c r="D32" i="46"/>
  <c r="G32" i="46" s="1"/>
  <c r="D43" i="37"/>
  <c r="G43" i="37" s="1"/>
  <c r="D55" i="28"/>
  <c r="G55" i="28" s="1"/>
  <c r="D86" i="33"/>
  <c r="G86" i="33" s="1"/>
  <c r="D86" i="37"/>
  <c r="G86" i="37" s="1"/>
  <c r="D82" i="33"/>
  <c r="G82" i="33" s="1"/>
  <c r="D82" i="37"/>
  <c r="G82" i="37" s="1"/>
  <c r="D15" i="33"/>
  <c r="G15" i="33" s="1"/>
  <c r="D15" i="37"/>
  <c r="G15" i="37" s="1"/>
  <c r="D78" i="33"/>
  <c r="G78" i="33" s="1"/>
  <c r="D78" i="37"/>
  <c r="G78" i="37" s="1"/>
  <c r="D21" i="33"/>
  <c r="G21" i="33" s="1"/>
  <c r="D21" i="37"/>
  <c r="G21" i="37" s="1"/>
  <c r="D58" i="33"/>
  <c r="G58" i="33" s="1"/>
  <c r="D58" i="37"/>
  <c r="G58" i="37" s="1"/>
  <c r="D20" i="33"/>
  <c r="G20" i="33" s="1"/>
  <c r="D20" i="37"/>
  <c r="G20" i="37" s="1"/>
  <c r="D12" i="33"/>
  <c r="G12" i="33" s="1"/>
  <c r="D12" i="37"/>
  <c r="G12" i="37" s="1"/>
  <c r="D81" i="33"/>
  <c r="G81" i="33" s="1"/>
  <c r="D81" i="37"/>
  <c r="G81" i="37" s="1"/>
  <c r="D36" i="33"/>
  <c r="G36" i="33" s="1"/>
  <c r="D36" i="37"/>
  <c r="G36" i="37" s="1"/>
  <c r="D45" i="33"/>
  <c r="G45" i="33" s="1"/>
  <c r="D45" i="37"/>
  <c r="G45" i="37" s="1"/>
  <c r="D8" i="33"/>
  <c r="G8" i="33" s="1"/>
  <c r="D8" i="37"/>
  <c r="G8" i="37" s="1"/>
  <c r="D32" i="33"/>
  <c r="G32" i="33" s="1"/>
  <c r="D32" i="37"/>
  <c r="G32" i="37" s="1"/>
  <c r="D43" i="28"/>
  <c r="G43" i="28" s="1"/>
  <c r="D43" i="33"/>
  <c r="G43" i="33" s="1"/>
  <c r="D15" i="28"/>
  <c r="D86" i="28"/>
  <c r="D45" i="28"/>
  <c r="D20" i="28"/>
  <c r="D8" i="28"/>
  <c r="G8" i="28" s="1"/>
  <c r="D32" i="28"/>
  <c r="D36" i="28"/>
  <c r="D58" i="28"/>
  <c r="D78" i="28"/>
  <c r="D12" i="28"/>
  <c r="D82" i="28"/>
  <c r="D21" i="28"/>
  <c r="D81" i="28"/>
  <c r="C68" i="20"/>
  <c r="G68" i="20" s="1"/>
  <c r="C26" i="20"/>
  <c r="G26" i="20" s="1"/>
  <c r="C73" i="20"/>
  <c r="G73" i="20" s="1"/>
  <c r="C17" i="20"/>
  <c r="G17" i="20" s="1"/>
  <c r="C42" i="20"/>
  <c r="G42" i="20" s="1"/>
  <c r="C36" i="20"/>
  <c r="G36" i="20" s="1"/>
  <c r="C25" i="20"/>
  <c r="G25" i="20" s="1"/>
  <c r="C7" i="20"/>
  <c r="G7" i="20" s="1"/>
  <c r="C75" i="20"/>
  <c r="G75" i="20" s="1"/>
  <c r="C15" i="20"/>
  <c r="G15" i="20" s="1"/>
  <c r="C20" i="20"/>
  <c r="G20" i="20" s="1"/>
  <c r="C40" i="20"/>
  <c r="G40" i="20" s="1"/>
  <c r="C28" i="20"/>
  <c r="G28" i="20" s="1"/>
  <c r="C35" i="20"/>
  <c r="G35" i="20" s="1"/>
  <c r="C78" i="20"/>
  <c r="G78" i="20" s="1"/>
  <c r="C44" i="20"/>
  <c r="G44" i="20" s="1"/>
  <c r="C38" i="20"/>
  <c r="G38" i="20" s="1"/>
  <c r="C82" i="20"/>
  <c r="G82" i="20" s="1"/>
  <c r="C61" i="20"/>
  <c r="G61" i="20" s="1"/>
  <c r="C57" i="20"/>
  <c r="G57" i="20" s="1"/>
  <c r="C72" i="20"/>
  <c r="G72" i="20" s="1"/>
  <c r="C11" i="20"/>
  <c r="G11" i="20" s="1"/>
  <c r="C32" i="20"/>
  <c r="G32" i="20" s="1"/>
  <c r="C51" i="20"/>
  <c r="G51" i="20" s="1"/>
  <c r="C23" i="20"/>
  <c r="G23" i="20" s="1"/>
  <c r="C63" i="20"/>
  <c r="G63" i="20" s="1"/>
  <c r="C77" i="20"/>
  <c r="G77" i="20" s="1"/>
  <c r="C46" i="20"/>
  <c r="G46" i="20" s="1"/>
  <c r="C52" i="20"/>
  <c r="G52" i="20" s="1"/>
  <c r="C33" i="20"/>
  <c r="G33" i="20" s="1"/>
  <c r="C21" i="20"/>
  <c r="G21" i="20" s="1"/>
  <c r="C69" i="20"/>
  <c r="G69" i="20" s="1"/>
  <c r="C55" i="20"/>
  <c r="G55" i="20" s="1"/>
  <c r="C16" i="20"/>
  <c r="G16" i="20" s="1"/>
  <c r="C9" i="20"/>
  <c r="G9" i="20" s="1"/>
  <c r="C14" i="20"/>
  <c r="G14" i="20" s="1"/>
  <c r="C65" i="20"/>
  <c r="G65" i="20" s="1"/>
  <c r="C45" i="20"/>
  <c r="G45" i="20" s="1"/>
  <c r="C71" i="20"/>
  <c r="G71" i="20" s="1"/>
  <c r="C60" i="20"/>
  <c r="G60" i="20" s="1"/>
  <c r="C27" i="20"/>
  <c r="G27" i="20" s="1"/>
  <c r="C22" i="20"/>
  <c r="G22" i="20" s="1"/>
  <c r="C83" i="20"/>
  <c r="G83" i="20" s="1"/>
  <c r="C39" i="20"/>
  <c r="G39" i="20" s="1"/>
  <c r="C58" i="20"/>
  <c r="G58" i="20" s="1"/>
  <c r="C62" i="20"/>
  <c r="G62" i="20" s="1"/>
  <c r="C67" i="20"/>
  <c r="G67" i="20" s="1"/>
  <c r="C66" i="20"/>
  <c r="G66" i="20" s="1"/>
  <c r="C59" i="20"/>
  <c r="G59" i="20" s="1"/>
  <c r="C81" i="20"/>
  <c r="G81" i="20" s="1"/>
  <c r="C54" i="20"/>
  <c r="G54" i="20" s="1"/>
  <c r="C70" i="20"/>
  <c r="G70" i="20" s="1"/>
  <c r="C48" i="20"/>
  <c r="G48" i="20" s="1"/>
  <c r="C24" i="20"/>
  <c r="G24" i="20" s="1"/>
  <c r="C50" i="20"/>
  <c r="G50" i="20" s="1"/>
  <c r="C49" i="20"/>
  <c r="G49" i="20" s="1"/>
  <c r="C8" i="20"/>
  <c r="G8" i="20" s="1"/>
  <c r="C37" i="20"/>
  <c r="G37" i="20" s="1"/>
  <c r="C31" i="20"/>
  <c r="G31" i="20" s="1"/>
  <c r="C29" i="20"/>
  <c r="G29" i="20" s="1"/>
  <c r="C64" i="20"/>
  <c r="G64" i="20" s="1"/>
  <c r="C85" i="20"/>
  <c r="G85" i="20" s="1"/>
  <c r="C47" i="20"/>
  <c r="G47" i="20" s="1"/>
  <c r="C12" i="20"/>
  <c r="G12" i="20" s="1"/>
  <c r="C74" i="20"/>
  <c r="G74" i="20" s="1"/>
  <c r="N81" i="45" l="1"/>
  <c r="N78" i="45"/>
  <c r="N21" i="45"/>
  <c r="N58" i="45"/>
  <c r="N15" i="45"/>
  <c r="N32" i="45"/>
  <c r="N82" i="45"/>
  <c r="N12" i="45"/>
  <c r="N43" i="45"/>
  <c r="N20" i="45"/>
  <c r="N36" i="45"/>
  <c r="N8" i="45"/>
  <c r="N55" i="45"/>
  <c r="N86" i="45"/>
  <c r="N45" i="45"/>
  <c r="D13" i="45"/>
  <c r="G13" i="45" s="1"/>
  <c r="D13" i="46"/>
  <c r="G13" i="46" s="1"/>
  <c r="D41" i="45"/>
  <c r="G41" i="45" s="1"/>
  <c r="D41" i="46"/>
  <c r="G41" i="46" s="1"/>
  <c r="D48" i="45"/>
  <c r="G48" i="45" s="1"/>
  <c r="D48" i="46"/>
  <c r="G48" i="46" s="1"/>
  <c r="D42" i="45"/>
  <c r="G42" i="45" s="1"/>
  <c r="D42" i="46"/>
  <c r="G42" i="46" s="1"/>
  <c r="D19" i="45"/>
  <c r="G19" i="45" s="1"/>
  <c r="D19" i="46"/>
  <c r="G19" i="46" s="1"/>
  <c r="D87" i="45"/>
  <c r="G87" i="45" s="1"/>
  <c r="N87" i="45" s="1"/>
  <c r="D87" i="46"/>
  <c r="G87" i="46" s="1"/>
  <c r="D64" i="45"/>
  <c r="G64" i="45" s="1"/>
  <c r="D64" i="46"/>
  <c r="G64" i="46" s="1"/>
  <c r="D35" i="45"/>
  <c r="G35" i="45" s="1"/>
  <c r="D35" i="46"/>
  <c r="G35" i="46" s="1"/>
  <c r="D37" i="45"/>
  <c r="G37" i="45" s="1"/>
  <c r="D37" i="46"/>
  <c r="G37" i="46" s="1"/>
  <c r="D31" i="45"/>
  <c r="G31" i="45" s="1"/>
  <c r="D31" i="46"/>
  <c r="G31" i="46" s="1"/>
  <c r="D72" i="45"/>
  <c r="G72" i="45" s="1"/>
  <c r="N72" i="45" s="1"/>
  <c r="D72" i="46"/>
  <c r="G72" i="46" s="1"/>
  <c r="D16" i="45"/>
  <c r="G16" i="45" s="1"/>
  <c r="N16" i="45" s="1"/>
  <c r="D16" i="46"/>
  <c r="G16" i="46" s="1"/>
  <c r="D59" i="45"/>
  <c r="G59" i="45" s="1"/>
  <c r="D59" i="46"/>
  <c r="G59" i="46" s="1"/>
  <c r="D33" i="45"/>
  <c r="G33" i="45" s="1"/>
  <c r="N33" i="45" s="1"/>
  <c r="D33" i="46"/>
  <c r="G33" i="46" s="1"/>
  <c r="D56" i="45"/>
  <c r="G56" i="45" s="1"/>
  <c r="D56" i="46"/>
  <c r="G56" i="46" s="1"/>
  <c r="D85" i="45"/>
  <c r="G85" i="45" s="1"/>
  <c r="D85" i="46"/>
  <c r="G85" i="46" s="1"/>
  <c r="D11" i="45"/>
  <c r="G11" i="45" s="1"/>
  <c r="D11" i="46"/>
  <c r="G11" i="46" s="1"/>
  <c r="D79" i="45"/>
  <c r="G79" i="45" s="1"/>
  <c r="D79" i="46"/>
  <c r="G79" i="46" s="1"/>
  <c r="D63" i="45"/>
  <c r="G63" i="45" s="1"/>
  <c r="D63" i="46"/>
  <c r="G63" i="46" s="1"/>
  <c r="D22" i="45"/>
  <c r="G22" i="45" s="1"/>
  <c r="D22" i="46"/>
  <c r="G22" i="46" s="1"/>
  <c r="D75" i="45"/>
  <c r="G75" i="45" s="1"/>
  <c r="D75" i="46"/>
  <c r="G75" i="46" s="1"/>
  <c r="D24" i="45"/>
  <c r="G24" i="45" s="1"/>
  <c r="N24" i="45" s="1"/>
  <c r="D24" i="46"/>
  <c r="G24" i="46" s="1"/>
  <c r="D84" i="45"/>
  <c r="G84" i="45" s="1"/>
  <c r="D84" i="46"/>
  <c r="G84" i="46" s="1"/>
  <c r="D76" i="45"/>
  <c r="G76" i="45" s="1"/>
  <c r="D76" i="46"/>
  <c r="G76" i="46" s="1"/>
  <c r="D10" i="45"/>
  <c r="G10" i="45" s="1"/>
  <c r="D10" i="46"/>
  <c r="G10" i="46" s="1"/>
  <c r="D61" i="45"/>
  <c r="G61" i="45" s="1"/>
  <c r="D61" i="46"/>
  <c r="G61" i="46" s="1"/>
  <c r="D29" i="45"/>
  <c r="G29" i="45" s="1"/>
  <c r="D29" i="46"/>
  <c r="G29" i="46" s="1"/>
  <c r="D57" i="45"/>
  <c r="G57" i="45" s="1"/>
  <c r="D57" i="46"/>
  <c r="G57" i="46" s="1"/>
  <c r="D40" i="45"/>
  <c r="G40" i="45" s="1"/>
  <c r="D40" i="46"/>
  <c r="G40" i="46" s="1"/>
  <c r="D77" i="45"/>
  <c r="G77" i="45" s="1"/>
  <c r="N77" i="45" s="1"/>
  <c r="D77" i="46"/>
  <c r="G77" i="46" s="1"/>
  <c r="D39" i="45"/>
  <c r="G39" i="45" s="1"/>
  <c r="D39" i="46"/>
  <c r="G39" i="46" s="1"/>
  <c r="D65" i="45"/>
  <c r="G65" i="45" s="1"/>
  <c r="D65" i="46"/>
  <c r="G65" i="46" s="1"/>
  <c r="D28" i="45"/>
  <c r="G28" i="45" s="1"/>
  <c r="D28" i="46"/>
  <c r="G28" i="46" s="1"/>
  <c r="D53" i="45"/>
  <c r="G53" i="45" s="1"/>
  <c r="D53" i="46"/>
  <c r="G53" i="46" s="1"/>
  <c r="D9" i="45"/>
  <c r="G9" i="45" s="1"/>
  <c r="D9" i="46"/>
  <c r="G9" i="46" s="1"/>
  <c r="D83" i="45"/>
  <c r="G83" i="45" s="1"/>
  <c r="D83" i="46"/>
  <c r="G83" i="46" s="1"/>
  <c r="D18" i="45"/>
  <c r="G18" i="45" s="1"/>
  <c r="D18" i="46"/>
  <c r="G18" i="46" s="1"/>
  <c r="D17" i="45"/>
  <c r="G17" i="45" s="1"/>
  <c r="D17" i="46"/>
  <c r="G17" i="46" s="1"/>
  <c r="D14" i="45"/>
  <c r="G14" i="45" s="1"/>
  <c r="D14" i="46"/>
  <c r="G14" i="46" s="1"/>
  <c r="D51" i="45"/>
  <c r="G51" i="45" s="1"/>
  <c r="D51" i="46"/>
  <c r="G51" i="46" s="1"/>
  <c r="D62" i="45"/>
  <c r="G62" i="45" s="1"/>
  <c r="D62" i="46"/>
  <c r="G62" i="46" s="1"/>
  <c r="D46" i="45"/>
  <c r="G46" i="45" s="1"/>
  <c r="D46" i="46"/>
  <c r="G46" i="46" s="1"/>
  <c r="D49" i="45"/>
  <c r="G49" i="45" s="1"/>
  <c r="D49" i="46"/>
  <c r="G49" i="46" s="1"/>
  <c r="D52" i="45"/>
  <c r="G52" i="45" s="1"/>
  <c r="D52" i="46"/>
  <c r="G52" i="46" s="1"/>
  <c r="D73" i="45"/>
  <c r="G73" i="45" s="1"/>
  <c r="D73" i="46"/>
  <c r="G73" i="46" s="1"/>
  <c r="D23" i="45"/>
  <c r="G23" i="45" s="1"/>
  <c r="D23" i="46"/>
  <c r="G23" i="46" s="1"/>
  <c r="D34" i="45"/>
  <c r="G34" i="45" s="1"/>
  <c r="D34" i="46"/>
  <c r="G34" i="46" s="1"/>
  <c r="D80" i="45"/>
  <c r="G80" i="45" s="1"/>
  <c r="D80" i="46"/>
  <c r="G80" i="46" s="1"/>
  <c r="D27" i="45"/>
  <c r="G27" i="45" s="1"/>
  <c r="D27" i="46"/>
  <c r="G27" i="46" s="1"/>
  <c r="D47" i="45"/>
  <c r="G47" i="45" s="1"/>
  <c r="D47" i="46"/>
  <c r="G47" i="46" s="1"/>
  <c r="D38" i="45"/>
  <c r="G38" i="45" s="1"/>
  <c r="N38" i="45" s="1"/>
  <c r="D38" i="46"/>
  <c r="G38" i="46" s="1"/>
  <c r="D50" i="45"/>
  <c r="G50" i="45" s="1"/>
  <c r="D50" i="46"/>
  <c r="G50" i="46" s="1"/>
  <c r="D60" i="45"/>
  <c r="G60" i="45" s="1"/>
  <c r="D60" i="46"/>
  <c r="G60" i="46" s="1"/>
  <c r="D54" i="45"/>
  <c r="G54" i="45" s="1"/>
  <c r="D54" i="46"/>
  <c r="G54" i="46" s="1"/>
  <c r="D74" i="45"/>
  <c r="G74" i="45" s="1"/>
  <c r="D74" i="46"/>
  <c r="G74" i="46" s="1"/>
  <c r="D30" i="45"/>
  <c r="G30" i="45" s="1"/>
  <c r="D30" i="46"/>
  <c r="G30" i="46" s="1"/>
  <c r="D44" i="45"/>
  <c r="G44" i="45" s="1"/>
  <c r="D44" i="46"/>
  <c r="G44" i="46" s="1"/>
  <c r="D26" i="45"/>
  <c r="G26" i="45" s="1"/>
  <c r="D26" i="46"/>
  <c r="G26" i="46" s="1"/>
  <c r="D25" i="45"/>
  <c r="G25" i="45" s="1"/>
  <c r="D25" i="46"/>
  <c r="G25" i="46" s="1"/>
  <c r="D70" i="45"/>
  <c r="G70" i="45" s="1"/>
  <c r="D70" i="46"/>
  <c r="G70" i="46" s="1"/>
  <c r="D71" i="45"/>
  <c r="G71" i="45" s="1"/>
  <c r="D71" i="46"/>
  <c r="G71" i="46" s="1"/>
  <c r="D67" i="45"/>
  <c r="G67" i="45" s="1"/>
  <c r="D67" i="46"/>
  <c r="G67" i="46" s="1"/>
  <c r="D68" i="45"/>
  <c r="G68" i="45" s="1"/>
  <c r="D68" i="46"/>
  <c r="G68" i="46" s="1"/>
  <c r="D69" i="45"/>
  <c r="G69" i="45" s="1"/>
  <c r="D69" i="46"/>
  <c r="G69" i="46" s="1"/>
  <c r="D66" i="45"/>
  <c r="G66" i="45" s="1"/>
  <c r="D66" i="46"/>
  <c r="G66" i="46" s="1"/>
  <c r="D55" i="37"/>
  <c r="G55" i="37" s="1"/>
  <c r="D55" i="33"/>
  <c r="G55" i="33" s="1"/>
  <c r="D63" i="33"/>
  <c r="G63" i="33" s="1"/>
  <c r="D63" i="37"/>
  <c r="G63" i="37" s="1"/>
  <c r="D65" i="33"/>
  <c r="G65" i="33" s="1"/>
  <c r="D65" i="37"/>
  <c r="G65" i="37" s="1"/>
  <c r="D22" i="33"/>
  <c r="G22" i="33" s="1"/>
  <c r="D22" i="37"/>
  <c r="G22" i="37" s="1"/>
  <c r="D39" i="33"/>
  <c r="G39" i="33" s="1"/>
  <c r="D39" i="37"/>
  <c r="G39" i="37" s="1"/>
  <c r="D28" i="33"/>
  <c r="G28" i="33" s="1"/>
  <c r="D28" i="37"/>
  <c r="G28" i="37" s="1"/>
  <c r="D57" i="33"/>
  <c r="G57" i="33" s="1"/>
  <c r="D57" i="37"/>
  <c r="G57" i="37" s="1"/>
  <c r="D40" i="33"/>
  <c r="G40" i="33" s="1"/>
  <c r="D40" i="37"/>
  <c r="G40" i="37" s="1"/>
  <c r="D77" i="33"/>
  <c r="G77" i="33" s="1"/>
  <c r="D77" i="37"/>
  <c r="G77" i="37" s="1"/>
  <c r="D70" i="33"/>
  <c r="G70" i="33" s="1"/>
  <c r="D70" i="37"/>
  <c r="G70" i="37" s="1"/>
  <c r="D56" i="33"/>
  <c r="G56" i="33" s="1"/>
  <c r="D56" i="37"/>
  <c r="G56" i="37" s="1"/>
  <c r="D75" i="33"/>
  <c r="G75" i="33" s="1"/>
  <c r="D75" i="37"/>
  <c r="G75" i="37" s="1"/>
  <c r="D83" i="33"/>
  <c r="G83" i="33" s="1"/>
  <c r="D83" i="37"/>
  <c r="G83" i="37" s="1"/>
  <c r="D14" i="33"/>
  <c r="G14" i="33" s="1"/>
  <c r="D14" i="37"/>
  <c r="G14" i="37" s="1"/>
  <c r="D71" i="33"/>
  <c r="G71" i="33" s="1"/>
  <c r="D71" i="37"/>
  <c r="G71" i="37" s="1"/>
  <c r="D46" i="33"/>
  <c r="G46" i="33" s="1"/>
  <c r="D46" i="37"/>
  <c r="G46" i="37" s="1"/>
  <c r="D9" i="33"/>
  <c r="G9" i="33" s="1"/>
  <c r="D9" i="37"/>
  <c r="G9" i="37" s="1"/>
  <c r="D11" i="33"/>
  <c r="G11" i="33" s="1"/>
  <c r="D11" i="37"/>
  <c r="G11" i="37" s="1"/>
  <c r="D18" i="33"/>
  <c r="G18" i="33" s="1"/>
  <c r="D18" i="37"/>
  <c r="G18" i="37" s="1"/>
  <c r="D25" i="33"/>
  <c r="G25" i="33" s="1"/>
  <c r="D25" i="37"/>
  <c r="G25" i="37" s="1"/>
  <c r="D69" i="33"/>
  <c r="G69" i="33" s="1"/>
  <c r="D69" i="37"/>
  <c r="G69" i="37" s="1"/>
  <c r="D80" i="33"/>
  <c r="G80" i="33" s="1"/>
  <c r="D80" i="37"/>
  <c r="G80" i="37" s="1"/>
  <c r="D27" i="33"/>
  <c r="G27" i="33" s="1"/>
  <c r="D27" i="37"/>
  <c r="G27" i="37" s="1"/>
  <c r="D85" i="33"/>
  <c r="G85" i="33" s="1"/>
  <c r="D85" i="37"/>
  <c r="G85" i="37" s="1"/>
  <c r="D84" i="33"/>
  <c r="G84" i="33" s="1"/>
  <c r="D84" i="37"/>
  <c r="G84" i="37" s="1"/>
  <c r="D10" i="33"/>
  <c r="G10" i="33" s="1"/>
  <c r="D10" i="37"/>
  <c r="G10" i="37" s="1"/>
  <c r="D51" i="33"/>
  <c r="G51" i="33" s="1"/>
  <c r="D51" i="37"/>
  <c r="G51" i="37" s="1"/>
  <c r="D53" i="33"/>
  <c r="G53" i="33" s="1"/>
  <c r="D53" i="37"/>
  <c r="G53" i="37" s="1"/>
  <c r="D73" i="33"/>
  <c r="G73" i="33" s="1"/>
  <c r="D73" i="37"/>
  <c r="G73" i="37" s="1"/>
  <c r="D34" i="33"/>
  <c r="G34" i="33" s="1"/>
  <c r="D34" i="37"/>
  <c r="G34" i="37" s="1"/>
  <c r="D87" i="33"/>
  <c r="G87" i="33" s="1"/>
  <c r="D87" i="37"/>
  <c r="G87" i="37" s="1"/>
  <c r="D26" i="33"/>
  <c r="G26" i="33" s="1"/>
  <c r="D26" i="37"/>
  <c r="G26" i="37" s="1"/>
  <c r="D64" i="33"/>
  <c r="G64" i="33" s="1"/>
  <c r="D64" i="37"/>
  <c r="G64" i="37" s="1"/>
  <c r="D47" i="33"/>
  <c r="G47" i="33" s="1"/>
  <c r="D47" i="37"/>
  <c r="G47" i="37" s="1"/>
  <c r="D35" i="33"/>
  <c r="G35" i="33" s="1"/>
  <c r="D35" i="37"/>
  <c r="G35" i="37" s="1"/>
  <c r="D13" i="33"/>
  <c r="G13" i="33" s="1"/>
  <c r="D13" i="37"/>
  <c r="G13" i="37" s="1"/>
  <c r="D37" i="33"/>
  <c r="G37" i="33" s="1"/>
  <c r="D37" i="37"/>
  <c r="G37" i="37" s="1"/>
  <c r="D38" i="33"/>
  <c r="G38" i="33" s="1"/>
  <c r="D38" i="37"/>
  <c r="G38" i="37" s="1"/>
  <c r="D79" i="33"/>
  <c r="G79" i="33" s="1"/>
  <c r="D79" i="37"/>
  <c r="G79" i="37" s="1"/>
  <c r="D17" i="33"/>
  <c r="G17" i="33" s="1"/>
  <c r="D17" i="37"/>
  <c r="G17" i="37" s="1"/>
  <c r="D61" i="33"/>
  <c r="G61" i="33" s="1"/>
  <c r="D61" i="37"/>
  <c r="G61" i="37" s="1"/>
  <c r="D68" i="33"/>
  <c r="G68" i="33" s="1"/>
  <c r="D68" i="37"/>
  <c r="G68" i="37" s="1"/>
  <c r="D52" i="33"/>
  <c r="G52" i="33" s="1"/>
  <c r="D52" i="37"/>
  <c r="G52" i="37" s="1"/>
  <c r="D66" i="33"/>
  <c r="G66" i="33" s="1"/>
  <c r="D66" i="37"/>
  <c r="G66" i="37" s="1"/>
  <c r="D60" i="33"/>
  <c r="G60" i="33" s="1"/>
  <c r="D60" i="37"/>
  <c r="G60" i="37" s="1"/>
  <c r="D67" i="33"/>
  <c r="G67" i="33" s="1"/>
  <c r="D67" i="37"/>
  <c r="G67" i="37" s="1"/>
  <c r="D54" i="33"/>
  <c r="G54" i="33" s="1"/>
  <c r="D54" i="37"/>
  <c r="G54" i="37" s="1"/>
  <c r="D74" i="33"/>
  <c r="G74" i="33" s="1"/>
  <c r="D74" i="37"/>
  <c r="G74" i="37" s="1"/>
  <c r="D30" i="33"/>
  <c r="G30" i="33" s="1"/>
  <c r="D30" i="37"/>
  <c r="G30" i="37" s="1"/>
  <c r="D44" i="33"/>
  <c r="G44" i="33" s="1"/>
  <c r="D44" i="37"/>
  <c r="G44" i="37" s="1"/>
  <c r="D33" i="33"/>
  <c r="G33" i="33" s="1"/>
  <c r="D33" i="37"/>
  <c r="G33" i="37" s="1"/>
  <c r="D24" i="33"/>
  <c r="G24" i="33" s="1"/>
  <c r="D24" i="37"/>
  <c r="G24" i="37" s="1"/>
  <c r="D76" i="33"/>
  <c r="G76" i="33" s="1"/>
  <c r="D76" i="37"/>
  <c r="G76" i="37" s="1"/>
  <c r="D29" i="33"/>
  <c r="G29" i="33" s="1"/>
  <c r="D29" i="37"/>
  <c r="G29" i="37" s="1"/>
  <c r="D62" i="33"/>
  <c r="G62" i="33" s="1"/>
  <c r="D62" i="37"/>
  <c r="G62" i="37" s="1"/>
  <c r="D49" i="33"/>
  <c r="G49" i="33" s="1"/>
  <c r="D49" i="37"/>
  <c r="G49" i="37" s="1"/>
  <c r="D23" i="33"/>
  <c r="G23" i="33" s="1"/>
  <c r="D23" i="37"/>
  <c r="G23" i="37" s="1"/>
  <c r="D50" i="33"/>
  <c r="G50" i="33" s="1"/>
  <c r="D50" i="37"/>
  <c r="G50" i="37" s="1"/>
  <c r="D31" i="33"/>
  <c r="G31" i="33" s="1"/>
  <c r="D31" i="37"/>
  <c r="G31" i="37" s="1"/>
  <c r="D72" i="33"/>
  <c r="G72" i="33" s="1"/>
  <c r="D72" i="37"/>
  <c r="G72" i="37" s="1"/>
  <c r="D41" i="33"/>
  <c r="G41" i="33" s="1"/>
  <c r="D41" i="37"/>
  <c r="G41" i="37" s="1"/>
  <c r="D16" i="33"/>
  <c r="G16" i="33" s="1"/>
  <c r="D16" i="37"/>
  <c r="G16" i="37" s="1"/>
  <c r="D48" i="33"/>
  <c r="G48" i="33" s="1"/>
  <c r="D48" i="37"/>
  <c r="G48" i="37" s="1"/>
  <c r="D59" i="33"/>
  <c r="G59" i="33" s="1"/>
  <c r="D59" i="37"/>
  <c r="G59" i="37" s="1"/>
  <c r="D42" i="33"/>
  <c r="G42" i="33" s="1"/>
  <c r="D42" i="37"/>
  <c r="G42" i="37" s="1"/>
  <c r="D19" i="33"/>
  <c r="G19" i="33" s="1"/>
  <c r="D19" i="37"/>
  <c r="G19" i="37" s="1"/>
  <c r="G82" i="28"/>
  <c r="G36" i="28"/>
  <c r="G86" i="28"/>
  <c r="G78" i="28"/>
  <c r="G15" i="28"/>
  <c r="G45" i="28"/>
  <c r="G32" i="28"/>
  <c r="G21" i="28"/>
  <c r="G20" i="28"/>
  <c r="G12" i="28"/>
  <c r="G81" i="28"/>
  <c r="G58" i="28"/>
  <c r="D39" i="28"/>
  <c r="D65" i="28"/>
  <c r="D84" i="28"/>
  <c r="D17" i="28"/>
  <c r="D28" i="28"/>
  <c r="D29" i="28"/>
  <c r="D25" i="28"/>
  <c r="D40" i="28"/>
  <c r="D77" i="28"/>
  <c r="D70" i="28"/>
  <c r="D61" i="28"/>
  <c r="D71" i="28"/>
  <c r="D53" i="28"/>
  <c r="D46" i="28"/>
  <c r="D9" i="28"/>
  <c r="G9" i="28" s="1"/>
  <c r="D10" i="28"/>
  <c r="G10" i="28" s="1"/>
  <c r="D62" i="28"/>
  <c r="D52" i="28"/>
  <c r="D69" i="28"/>
  <c r="D73" i="28"/>
  <c r="D23" i="28"/>
  <c r="D34" i="28"/>
  <c r="D80" i="28"/>
  <c r="D27" i="28"/>
  <c r="D18" i="28"/>
  <c r="D14" i="28"/>
  <c r="D26" i="28"/>
  <c r="D35" i="28"/>
  <c r="D13" i="28"/>
  <c r="D37" i="28"/>
  <c r="D38" i="28"/>
  <c r="D83" i="28"/>
  <c r="D57" i="28"/>
  <c r="D49" i="28"/>
  <c r="D64" i="28"/>
  <c r="D50" i="28"/>
  <c r="D60" i="28"/>
  <c r="D67" i="28"/>
  <c r="D54" i="28"/>
  <c r="D74" i="28"/>
  <c r="D30" i="28"/>
  <c r="D44" i="28"/>
  <c r="D24" i="28"/>
  <c r="D51" i="28"/>
  <c r="D66" i="28"/>
  <c r="D72" i="28"/>
  <c r="D16" i="28"/>
  <c r="D48" i="28"/>
  <c r="D59" i="28"/>
  <c r="D42" i="28"/>
  <c r="D19" i="28"/>
  <c r="D76" i="28"/>
  <c r="D68" i="28"/>
  <c r="D87" i="28"/>
  <c r="D47" i="28"/>
  <c r="D31" i="28"/>
  <c r="D41" i="28"/>
  <c r="D33" i="28"/>
  <c r="D56" i="28"/>
  <c r="D85" i="28"/>
  <c r="D11" i="28"/>
  <c r="D79" i="28"/>
  <c r="D63" i="28"/>
  <c r="D22" i="28"/>
  <c r="D75" i="28"/>
  <c r="N9" i="45" l="1"/>
  <c r="N67" i="45"/>
  <c r="N54" i="45"/>
  <c r="N23" i="45"/>
  <c r="N17" i="45"/>
  <c r="N25" i="45"/>
  <c r="N49" i="45"/>
  <c r="N29" i="45"/>
  <c r="N63" i="45"/>
  <c r="N48" i="45"/>
  <c r="N69" i="45"/>
  <c r="N30" i="45"/>
  <c r="N80" i="45"/>
  <c r="N51" i="45"/>
  <c r="N65" i="45"/>
  <c r="N76" i="45"/>
  <c r="N85" i="45"/>
  <c r="N35" i="45"/>
  <c r="N71" i="45"/>
  <c r="N60" i="45"/>
  <c r="N73" i="45"/>
  <c r="N18" i="45"/>
  <c r="N40" i="45"/>
  <c r="N75" i="45"/>
  <c r="N59" i="45"/>
  <c r="N19" i="45"/>
  <c r="N26" i="45"/>
  <c r="N47" i="45"/>
  <c r="N46" i="45"/>
  <c r="N53" i="45"/>
  <c r="N61" i="45"/>
  <c r="N79" i="45"/>
  <c r="N31" i="45"/>
  <c r="N41" i="45"/>
  <c r="N68" i="45"/>
  <c r="N74" i="45"/>
  <c r="N34" i="45"/>
  <c r="N14" i="45"/>
  <c r="N39" i="45"/>
  <c r="N84" i="45"/>
  <c r="N56" i="45"/>
  <c r="N64" i="45"/>
  <c r="N70" i="45"/>
  <c r="N50" i="45"/>
  <c r="N52" i="45"/>
  <c r="N83" i="45"/>
  <c r="N57" i="45"/>
  <c r="N22" i="45"/>
  <c r="N42" i="45"/>
  <c r="N66" i="45"/>
  <c r="N44" i="45"/>
  <c r="N27" i="45"/>
  <c r="N62" i="45"/>
  <c r="N28" i="45"/>
  <c r="N10" i="45"/>
  <c r="N11" i="45"/>
  <c r="N37" i="45"/>
  <c r="N13" i="45"/>
  <c r="G26" i="28"/>
  <c r="G87" i="28"/>
  <c r="G37" i="28"/>
  <c r="G34" i="28"/>
  <c r="G70" i="28"/>
  <c r="G29" i="28"/>
  <c r="G65" i="28"/>
  <c r="G19" i="28"/>
  <c r="G38" i="28"/>
  <c r="G16" i="28"/>
  <c r="G80" i="28"/>
  <c r="G72" i="28"/>
  <c r="G44" i="28"/>
  <c r="G14" i="28"/>
  <c r="G46" i="28"/>
  <c r="G59" i="28"/>
  <c r="G30" i="28"/>
  <c r="G28" i="28"/>
  <c r="G63" i="28"/>
  <c r="G54" i="28"/>
  <c r="G25" i="28"/>
  <c r="G33" i="28"/>
  <c r="G67" i="28"/>
  <c r="G75" i="28"/>
  <c r="G41" i="28"/>
  <c r="G68" i="28"/>
  <c r="G66" i="28"/>
  <c r="G57" i="28"/>
  <c r="G18" i="28"/>
  <c r="G23" i="28"/>
  <c r="G53" i="28"/>
  <c r="G77" i="28"/>
  <c r="G39" i="28"/>
  <c r="G47" i="28"/>
  <c r="G24" i="28"/>
  <c r="G69" i="28"/>
  <c r="G84" i="28"/>
  <c r="G42" i="28"/>
  <c r="G52" i="28"/>
  <c r="G79" i="28"/>
  <c r="G11" i="28"/>
  <c r="G60" i="28"/>
  <c r="G13" i="28"/>
  <c r="G62" i="28"/>
  <c r="G50" i="28"/>
  <c r="G56" i="28"/>
  <c r="G64" i="28"/>
  <c r="G61" i="28"/>
  <c r="G49" i="28"/>
  <c r="G22" i="28"/>
  <c r="G85" i="28"/>
  <c r="G31" i="28"/>
  <c r="G76" i="28"/>
  <c r="G48" i="28"/>
  <c r="G51" i="28"/>
  <c r="G74" i="28"/>
  <c r="G83" i="28"/>
  <c r="G35" i="28"/>
  <c r="G27" i="28"/>
  <c r="G73" i="28"/>
  <c r="G71" i="28"/>
  <c r="G40" i="28"/>
  <c r="G17" i="28"/>
  <c r="M95" i="23"/>
  <c r="C5" i="20"/>
  <c r="G5" i="20" s="1"/>
  <c r="D7" i="46" l="1"/>
  <c r="G7" i="46" s="1"/>
  <c r="D7" i="45"/>
  <c r="G7" i="45" s="1"/>
  <c r="N7" i="45" s="1"/>
  <c r="G86" i="20"/>
  <c r="C86" i="20"/>
  <c r="D88" i="45" l="1"/>
  <c r="D88" i="46"/>
  <c r="D7" i="33"/>
  <c r="D7" i="37"/>
  <c r="G7" i="37" s="1"/>
  <c r="D7" i="28"/>
  <c r="G7" i="28" s="1"/>
  <c r="G7" i="33" l="1"/>
  <c r="D89" i="45"/>
  <c r="D89" i="46"/>
  <c r="G88" i="45"/>
  <c r="G88" i="46"/>
  <c r="D88" i="33"/>
  <c r="D88" i="37"/>
  <c r="D88" i="28"/>
  <c r="H6" i="28"/>
  <c r="D89" i="33" l="1"/>
  <c r="G89" i="45"/>
  <c r="M8" i="46"/>
  <c r="Q8" i="46" s="1"/>
  <c r="G89" i="46"/>
  <c r="H42" i="33"/>
  <c r="I42" i="33" s="1"/>
  <c r="H7" i="33"/>
  <c r="N88" i="45"/>
  <c r="O88" i="45"/>
  <c r="M41" i="46"/>
  <c r="Q41" i="46" s="1"/>
  <c r="M15" i="46"/>
  <c r="Q15" i="46" s="1"/>
  <c r="M24" i="46"/>
  <c r="Q24" i="46" s="1"/>
  <c r="M12" i="46"/>
  <c r="Q12" i="46" s="1"/>
  <c r="M21" i="46"/>
  <c r="Q21" i="46" s="1"/>
  <c r="M86" i="46"/>
  <c r="Q86" i="46" s="1"/>
  <c r="M62" i="46"/>
  <c r="Q62" i="46" s="1"/>
  <c r="M25" i="46"/>
  <c r="Q25" i="46" s="1"/>
  <c r="M85" i="46"/>
  <c r="Q85" i="46" s="1"/>
  <c r="M65" i="46"/>
  <c r="Q65" i="46" s="1"/>
  <c r="M43" i="46"/>
  <c r="Q43" i="46" s="1"/>
  <c r="M18" i="46"/>
  <c r="Q18" i="46" s="1"/>
  <c r="M56" i="46"/>
  <c r="Q56" i="46" s="1"/>
  <c r="M50" i="46"/>
  <c r="Q50" i="46" s="1"/>
  <c r="M61" i="46"/>
  <c r="Q61" i="46" s="1"/>
  <c r="M64" i="46"/>
  <c r="Q64" i="46" s="1"/>
  <c r="M69" i="46"/>
  <c r="Q69" i="46" s="1"/>
  <c r="M51" i="46"/>
  <c r="Q51" i="46" s="1"/>
  <c r="M16" i="46"/>
  <c r="Q16" i="46" s="1"/>
  <c r="M44" i="46"/>
  <c r="Q44" i="46" s="1"/>
  <c r="M66" i="46"/>
  <c r="Q66" i="46" s="1"/>
  <c r="M87" i="46"/>
  <c r="Q87" i="46" s="1"/>
  <c r="M74" i="46"/>
  <c r="Q74" i="46" s="1"/>
  <c r="M47" i="46"/>
  <c r="Q47" i="46" s="1"/>
  <c r="M72" i="46"/>
  <c r="Q72" i="46" s="1"/>
  <c r="M73" i="46"/>
  <c r="Q73" i="46" s="1"/>
  <c r="M71" i="46"/>
  <c r="Q71" i="46" s="1"/>
  <c r="M45" i="46"/>
  <c r="Q45" i="46" s="1"/>
  <c r="M22" i="46"/>
  <c r="Q22" i="46" s="1"/>
  <c r="M59" i="46"/>
  <c r="Q59" i="46" s="1"/>
  <c r="M80" i="46"/>
  <c r="Q80" i="46" s="1"/>
  <c r="M34" i="46"/>
  <c r="Q34" i="46" s="1"/>
  <c r="M23" i="46"/>
  <c r="Q23" i="46" s="1"/>
  <c r="M58" i="46"/>
  <c r="Q58" i="46" s="1"/>
  <c r="M39" i="46"/>
  <c r="Q39" i="46" s="1"/>
  <c r="M83" i="46"/>
  <c r="Q83" i="46" s="1"/>
  <c r="M40" i="46"/>
  <c r="Q40" i="46" s="1"/>
  <c r="M82" i="46"/>
  <c r="Q82" i="46" s="1"/>
  <c r="M46" i="46"/>
  <c r="Q46" i="46" s="1"/>
  <c r="M35" i="46"/>
  <c r="Q35" i="46" s="1"/>
  <c r="M60" i="46"/>
  <c r="Q60" i="46" s="1"/>
  <c r="M70" i="46"/>
  <c r="Q70" i="46" s="1"/>
  <c r="M30" i="46"/>
  <c r="Q30" i="46" s="1"/>
  <c r="M54" i="46"/>
  <c r="Q54" i="46" s="1"/>
  <c r="M68" i="46"/>
  <c r="Q68" i="46" s="1"/>
  <c r="M67" i="46"/>
  <c r="Q67" i="46" s="1"/>
  <c r="M26" i="46"/>
  <c r="Q26" i="46" s="1"/>
  <c r="M63" i="46"/>
  <c r="Q63" i="46" s="1"/>
  <c r="M75" i="46"/>
  <c r="Q75" i="46" s="1"/>
  <c r="M32" i="46"/>
  <c r="Q32" i="46" s="1"/>
  <c r="M28" i="46"/>
  <c r="Q28" i="46" s="1"/>
  <c r="M48" i="46"/>
  <c r="Q48" i="46" s="1"/>
  <c r="M17" i="46"/>
  <c r="Q17" i="46" s="1"/>
  <c r="M13" i="46"/>
  <c r="Q13" i="46" s="1"/>
  <c r="M84" i="46"/>
  <c r="Q84" i="46" s="1"/>
  <c r="M42" i="46"/>
  <c r="Q42" i="46" s="1"/>
  <c r="M78" i="46"/>
  <c r="Q78" i="46" s="1"/>
  <c r="M52" i="46"/>
  <c r="Q52" i="46" s="1"/>
  <c r="M31" i="46"/>
  <c r="Q31" i="46" s="1"/>
  <c r="M9" i="46"/>
  <c r="Q9" i="46" s="1"/>
  <c r="M38" i="46"/>
  <c r="Q38" i="46" s="1"/>
  <c r="M29" i="46"/>
  <c r="Q29" i="46" s="1"/>
  <c r="M76" i="46"/>
  <c r="Q76" i="46" s="1"/>
  <c r="M27" i="46"/>
  <c r="Q27" i="46" s="1"/>
  <c r="M11" i="46"/>
  <c r="Q11" i="46" s="1"/>
  <c r="M20" i="46"/>
  <c r="Q20" i="46" s="1"/>
  <c r="M33" i="46"/>
  <c r="Q33" i="46" s="1"/>
  <c r="M81" i="46"/>
  <c r="Q81" i="46" s="1"/>
  <c r="M57" i="46"/>
  <c r="Q57" i="46" s="1"/>
  <c r="M36" i="46"/>
  <c r="Q36" i="46" s="1"/>
  <c r="M79" i="46"/>
  <c r="Q79" i="46" s="1"/>
  <c r="M7" i="46"/>
  <c r="Q7" i="46" s="1"/>
  <c r="M55" i="46"/>
  <c r="Q55" i="46" s="1"/>
  <c r="M49" i="46"/>
  <c r="Q49" i="46" s="1"/>
  <c r="M37" i="46"/>
  <c r="Q37" i="46" s="1"/>
  <c r="M53" i="46"/>
  <c r="Q53" i="46" s="1"/>
  <c r="M77" i="46"/>
  <c r="Q77" i="46" s="1"/>
  <c r="M14" i="46"/>
  <c r="Q14" i="46" s="1"/>
  <c r="M10" i="46"/>
  <c r="Q10" i="46" s="1"/>
  <c r="M19" i="46"/>
  <c r="Q19" i="46" s="1"/>
  <c r="G88" i="37"/>
  <c r="G89" i="37" s="1"/>
  <c r="D89" i="37"/>
  <c r="G88" i="28"/>
  <c r="D89" i="28"/>
  <c r="H21" i="33"/>
  <c r="Q21" i="33" s="1"/>
  <c r="T21" i="33" s="1"/>
  <c r="H47" i="33"/>
  <c r="Q47" i="33" s="1"/>
  <c r="T47" i="33" s="1"/>
  <c r="H62" i="33"/>
  <c r="I62" i="33" s="1"/>
  <c r="H66" i="33"/>
  <c r="I66" i="33" s="1"/>
  <c r="H61" i="33"/>
  <c r="Q61" i="33" s="1"/>
  <c r="T61" i="33" s="1"/>
  <c r="H29" i="33"/>
  <c r="Q29" i="33" s="1"/>
  <c r="T29" i="33" s="1"/>
  <c r="H45" i="33"/>
  <c r="I45" i="33" s="1"/>
  <c r="H24" i="33"/>
  <c r="I24" i="33" s="1"/>
  <c r="H25" i="33"/>
  <c r="I25" i="33" s="1"/>
  <c r="H40" i="33"/>
  <c r="I40" i="33" s="1"/>
  <c r="H16" i="33"/>
  <c r="Q16" i="33" s="1"/>
  <c r="T16" i="33" s="1"/>
  <c r="H13" i="33"/>
  <c r="I13" i="33" s="1"/>
  <c r="H26" i="33"/>
  <c r="I26" i="33" s="1"/>
  <c r="H31" i="33"/>
  <c r="I31" i="33" s="1"/>
  <c r="H33" i="33"/>
  <c r="I33" i="33" s="1"/>
  <c r="H71" i="33"/>
  <c r="I71" i="33" s="1"/>
  <c r="H63" i="33"/>
  <c r="I63" i="33" s="1"/>
  <c r="H11" i="33"/>
  <c r="Q11" i="33" s="1"/>
  <c r="T11" i="33" s="1"/>
  <c r="H8" i="33"/>
  <c r="I8" i="33" s="1"/>
  <c r="H58" i="33"/>
  <c r="I58" i="33" s="1"/>
  <c r="H43" i="33"/>
  <c r="I43" i="33" s="1"/>
  <c r="H75" i="33"/>
  <c r="I75" i="33" s="1"/>
  <c r="H28" i="33"/>
  <c r="I28" i="33" s="1"/>
  <c r="H54" i="33"/>
  <c r="I54" i="33" s="1"/>
  <c r="H86" i="33"/>
  <c r="I86" i="33" s="1"/>
  <c r="H57" i="33"/>
  <c r="Q57" i="33" s="1"/>
  <c r="T57" i="33" s="1"/>
  <c r="H74" i="33"/>
  <c r="I74" i="33" s="1"/>
  <c r="G88" i="33"/>
  <c r="H32" i="33"/>
  <c r="Q32" i="33" s="1"/>
  <c r="T32" i="33" s="1"/>
  <c r="H82" i="33"/>
  <c r="Q82" i="33" s="1"/>
  <c r="T82" i="33" s="1"/>
  <c r="H46" i="33"/>
  <c r="I46" i="33" s="1"/>
  <c r="H37" i="33"/>
  <c r="Q37" i="33" s="1"/>
  <c r="T37" i="33" s="1"/>
  <c r="H19" i="33"/>
  <c r="I19" i="33" s="1"/>
  <c r="H9" i="33"/>
  <c r="Q9" i="33" s="1"/>
  <c r="T9" i="33" s="1"/>
  <c r="H30" i="33"/>
  <c r="Q30" i="33" s="1"/>
  <c r="T30" i="33" s="1"/>
  <c r="H64" i="33"/>
  <c r="I64" i="33" s="1"/>
  <c r="H36" i="33"/>
  <c r="I36" i="33" s="1"/>
  <c r="H38" i="33"/>
  <c r="I38" i="33" s="1"/>
  <c r="H78" i="33"/>
  <c r="Q78" i="33" s="1"/>
  <c r="T78" i="33" s="1"/>
  <c r="H69" i="33"/>
  <c r="I69" i="33" s="1"/>
  <c r="H67" i="33"/>
  <c r="Q67" i="33" s="1"/>
  <c r="T67" i="33" s="1"/>
  <c r="H83" i="33"/>
  <c r="Q83" i="33" s="1"/>
  <c r="T83" i="33" s="1"/>
  <c r="H17" i="33"/>
  <c r="I17" i="33" s="1"/>
  <c r="H14" i="33"/>
  <c r="Q14" i="33" s="1"/>
  <c r="T14" i="33" s="1"/>
  <c r="H51" i="33"/>
  <c r="I51" i="33" s="1"/>
  <c r="H41" i="33"/>
  <c r="I41" i="33" s="1"/>
  <c r="H76" i="33"/>
  <c r="Q76" i="33" s="1"/>
  <c r="T76" i="33" s="1"/>
  <c r="H85" i="33"/>
  <c r="I85" i="33" s="1"/>
  <c r="H15" i="33"/>
  <c r="Q15" i="33" s="1"/>
  <c r="T15" i="33" s="1"/>
  <c r="H53" i="33"/>
  <c r="Q53" i="33" s="1"/>
  <c r="T53" i="33" s="1"/>
  <c r="H77" i="33"/>
  <c r="I77" i="33" s="1"/>
  <c r="H10" i="33"/>
  <c r="H79" i="33"/>
  <c r="Q79" i="33" s="1"/>
  <c r="T79" i="33" s="1"/>
  <c r="H70" i="33"/>
  <c r="I70" i="33" s="1"/>
  <c r="H39" i="33"/>
  <c r="I39" i="33" s="1"/>
  <c r="H48" i="33"/>
  <c r="I48" i="33" s="1"/>
  <c r="H56" i="33"/>
  <c r="I56" i="33" s="1"/>
  <c r="H72" i="33"/>
  <c r="I72" i="33" s="1"/>
  <c r="H22" i="33"/>
  <c r="Q22" i="33" s="1"/>
  <c r="T22" i="33" s="1"/>
  <c r="H18" i="33"/>
  <c r="I18" i="33" s="1"/>
  <c r="H60" i="33"/>
  <c r="I60" i="33" s="1"/>
  <c r="H34" i="33"/>
  <c r="I34" i="33" s="1"/>
  <c r="H80" i="33"/>
  <c r="I80" i="33" s="1"/>
  <c r="H12" i="33"/>
  <c r="Q12" i="33" s="1"/>
  <c r="T12" i="33" s="1"/>
  <c r="H50" i="33"/>
  <c r="I50" i="33" s="1"/>
  <c r="H55" i="33"/>
  <c r="I55" i="33" s="1"/>
  <c r="H59" i="33"/>
  <c r="Q59" i="33" s="1"/>
  <c r="T59" i="33" s="1"/>
  <c r="H27" i="33"/>
  <c r="I27" i="33" s="1"/>
  <c r="H65" i="33"/>
  <c r="I65" i="33" s="1"/>
  <c r="H20" i="33"/>
  <c r="Q20" i="33" s="1"/>
  <c r="T20" i="33" s="1"/>
  <c r="H23" i="33"/>
  <c r="Q23" i="33" s="1"/>
  <c r="T23" i="33" s="1"/>
  <c r="H84" i="33"/>
  <c r="I84" i="33" s="1"/>
  <c r="H81" i="33"/>
  <c r="Q81" i="33" s="1"/>
  <c r="T81" i="33" s="1"/>
  <c r="H44" i="33"/>
  <c r="I44" i="33" s="1"/>
  <c r="H35" i="33"/>
  <c r="Q35" i="33" s="1"/>
  <c r="T35" i="33" s="1"/>
  <c r="H73" i="33"/>
  <c r="I73" i="33" s="1"/>
  <c r="H52" i="33"/>
  <c r="Q52" i="33" s="1"/>
  <c r="T52" i="33" s="1"/>
  <c r="H49" i="33"/>
  <c r="I49" i="33" s="1"/>
  <c r="H87" i="33"/>
  <c r="Q87" i="33" s="1"/>
  <c r="T87" i="33" s="1"/>
  <c r="H68" i="33"/>
  <c r="I68" i="33" s="1"/>
  <c r="Q7" i="33" l="1"/>
  <c r="T7" i="33" s="1"/>
  <c r="I7" i="33"/>
  <c r="Q42" i="33"/>
  <c r="T42" i="33" s="1"/>
  <c r="G89" i="33"/>
  <c r="N89" i="45"/>
  <c r="O7" i="45"/>
  <c r="P7" i="45" s="1"/>
  <c r="R7" i="45" s="1"/>
  <c r="U7" i="45" s="1"/>
  <c r="V7" i="45" s="1"/>
  <c r="O87" i="45"/>
  <c r="P87" i="45" s="1"/>
  <c r="R87" i="45" s="1"/>
  <c r="S87" i="45" s="1"/>
  <c r="X87" i="45" s="1"/>
  <c r="Y87" i="45" s="1"/>
  <c r="AA87" i="45" s="1"/>
  <c r="O23" i="45"/>
  <c r="P23" i="45" s="1"/>
  <c r="R23" i="45" s="1"/>
  <c r="S23" i="45" s="1"/>
  <c r="X23" i="45" s="1"/>
  <c r="Y23" i="45" s="1"/>
  <c r="O57" i="45"/>
  <c r="P57" i="45" s="1"/>
  <c r="R57" i="45" s="1"/>
  <c r="S57" i="45" s="1"/>
  <c r="X57" i="45" s="1"/>
  <c r="Y57" i="45" s="1"/>
  <c r="O62" i="45"/>
  <c r="P62" i="45" s="1"/>
  <c r="R62" i="45" s="1"/>
  <c r="S62" i="45" s="1"/>
  <c r="X62" i="45" s="1"/>
  <c r="Y62" i="45" s="1"/>
  <c r="O74" i="45"/>
  <c r="P74" i="45" s="1"/>
  <c r="R74" i="45" s="1"/>
  <c r="T74" i="45" s="1"/>
  <c r="O69" i="45"/>
  <c r="P69" i="45" s="1"/>
  <c r="R69" i="45" s="1"/>
  <c r="S69" i="45" s="1"/>
  <c r="X69" i="45" s="1"/>
  <c r="Y69" i="45" s="1"/>
  <c r="O81" i="45"/>
  <c r="P81" i="45" s="1"/>
  <c r="R81" i="45" s="1"/>
  <c r="S81" i="45" s="1"/>
  <c r="X81" i="45" s="1"/>
  <c r="Y81" i="45" s="1"/>
  <c r="O60" i="45"/>
  <c r="P60" i="45" s="1"/>
  <c r="R60" i="45" s="1"/>
  <c r="S60" i="45" s="1"/>
  <c r="X60" i="45" s="1"/>
  <c r="Y60" i="45" s="1"/>
  <c r="O40" i="45"/>
  <c r="P40" i="45" s="1"/>
  <c r="R40" i="45" s="1"/>
  <c r="S40" i="45" s="1"/>
  <c r="X40" i="45" s="1"/>
  <c r="Y40" i="45" s="1"/>
  <c r="O27" i="45"/>
  <c r="P27" i="45" s="1"/>
  <c r="R27" i="45" s="1"/>
  <c r="S27" i="45" s="1"/>
  <c r="X27" i="45" s="1"/>
  <c r="Y27" i="45" s="1"/>
  <c r="O8" i="45"/>
  <c r="O86" i="45"/>
  <c r="P86" i="45" s="1"/>
  <c r="R86" i="45" s="1"/>
  <c r="U86" i="45" s="1"/>
  <c r="V86" i="45" s="1"/>
  <c r="O64" i="45"/>
  <c r="P64" i="45" s="1"/>
  <c r="R64" i="45" s="1"/>
  <c r="S64" i="45" s="1"/>
  <c r="X64" i="45" s="1"/>
  <c r="Y64" i="45" s="1"/>
  <c r="O51" i="45"/>
  <c r="P51" i="45" s="1"/>
  <c r="R51" i="45" s="1"/>
  <c r="S51" i="45" s="1"/>
  <c r="X51" i="45" s="1"/>
  <c r="Y51" i="45" s="1"/>
  <c r="O50" i="45"/>
  <c r="P50" i="45" s="1"/>
  <c r="R50" i="45" s="1"/>
  <c r="U50" i="45" s="1"/>
  <c r="V50" i="45" s="1"/>
  <c r="O21" i="45"/>
  <c r="P21" i="45" s="1"/>
  <c r="R21" i="45" s="1"/>
  <c r="S21" i="45" s="1"/>
  <c r="X21" i="45" s="1"/>
  <c r="Y21" i="45" s="1"/>
  <c r="O41" i="45"/>
  <c r="P41" i="45" s="1"/>
  <c r="R41" i="45" s="1"/>
  <c r="U41" i="45" s="1"/>
  <c r="V41" i="45" s="1"/>
  <c r="O31" i="45"/>
  <c r="P31" i="45" s="1"/>
  <c r="R31" i="45" s="1"/>
  <c r="U31" i="45" s="1"/>
  <c r="V31" i="45" s="1"/>
  <c r="O68" i="45"/>
  <c r="P68" i="45" s="1"/>
  <c r="R68" i="45" s="1"/>
  <c r="U68" i="45" s="1"/>
  <c r="V68" i="45" s="1"/>
  <c r="O79" i="45"/>
  <c r="P79" i="45" s="1"/>
  <c r="R79" i="45" s="1"/>
  <c r="T79" i="45" s="1"/>
  <c r="O15" i="45"/>
  <c r="P15" i="45" s="1"/>
  <c r="R15" i="45" s="1"/>
  <c r="S15" i="45" s="1"/>
  <c r="X15" i="45" s="1"/>
  <c r="Y15" i="45" s="1"/>
  <c r="O33" i="45"/>
  <c r="P33" i="45" s="1"/>
  <c r="R33" i="45" s="1"/>
  <c r="U33" i="45" s="1"/>
  <c r="V33" i="45" s="1"/>
  <c r="O54" i="45"/>
  <c r="P54" i="45" s="1"/>
  <c r="R54" i="45" s="1"/>
  <c r="S54" i="45" s="1"/>
  <c r="X54" i="45" s="1"/>
  <c r="Y54" i="45" s="1"/>
  <c r="O42" i="45"/>
  <c r="P42" i="45" s="1"/>
  <c r="R42" i="45" s="1"/>
  <c r="U42" i="45" s="1"/>
  <c r="V42" i="45" s="1"/>
  <c r="O61" i="45"/>
  <c r="P61" i="45" s="1"/>
  <c r="R61" i="45" s="1"/>
  <c r="S61" i="45" s="1"/>
  <c r="X61" i="45" s="1"/>
  <c r="Y61" i="45" s="1"/>
  <c r="O25" i="45"/>
  <c r="P25" i="45" s="1"/>
  <c r="R25" i="45" s="1"/>
  <c r="T25" i="45" s="1"/>
  <c r="O52" i="45"/>
  <c r="P52" i="45" s="1"/>
  <c r="R52" i="45" s="1"/>
  <c r="S52" i="45" s="1"/>
  <c r="X52" i="45" s="1"/>
  <c r="Y52" i="45" s="1"/>
  <c r="O83" i="45"/>
  <c r="P83" i="45" s="1"/>
  <c r="R83" i="45" s="1"/>
  <c r="S83" i="45" s="1"/>
  <c r="X83" i="45" s="1"/>
  <c r="Y83" i="45" s="1"/>
  <c r="O19" i="45"/>
  <c r="P19" i="45" s="1"/>
  <c r="R19" i="45" s="1"/>
  <c r="T19" i="45" s="1"/>
  <c r="O28" i="45"/>
  <c r="P28" i="45" s="1"/>
  <c r="R28" i="45" s="1"/>
  <c r="S28" i="45" s="1"/>
  <c r="X28" i="45" s="1"/>
  <c r="Y28" i="45" s="1"/>
  <c r="O35" i="45"/>
  <c r="P35" i="45" s="1"/>
  <c r="R35" i="45" s="1"/>
  <c r="S35" i="45" s="1"/>
  <c r="X35" i="45" s="1"/>
  <c r="Y35" i="45" s="1"/>
  <c r="O71" i="45"/>
  <c r="P71" i="45" s="1"/>
  <c r="R71" i="45" s="1"/>
  <c r="S71" i="45" s="1"/>
  <c r="X71" i="45" s="1"/>
  <c r="Y71" i="45" s="1"/>
  <c r="O80" i="45"/>
  <c r="P80" i="45" s="1"/>
  <c r="R80" i="45" s="1"/>
  <c r="S80" i="45" s="1"/>
  <c r="X80" i="45" s="1"/>
  <c r="Y80" i="45" s="1"/>
  <c r="O46" i="45"/>
  <c r="P46" i="45" s="1"/>
  <c r="R46" i="45" s="1"/>
  <c r="S46" i="45" s="1"/>
  <c r="X46" i="45" s="1"/>
  <c r="Y46" i="45" s="1"/>
  <c r="O18" i="45"/>
  <c r="P18" i="45" s="1"/>
  <c r="R18" i="45" s="1"/>
  <c r="S18" i="45" s="1"/>
  <c r="X18" i="45" s="1"/>
  <c r="Y18" i="45" s="1"/>
  <c r="O53" i="45"/>
  <c r="P53" i="45" s="1"/>
  <c r="R53" i="45" s="1"/>
  <c r="S53" i="45" s="1"/>
  <c r="X53" i="45" s="1"/>
  <c r="Y53" i="45" s="1"/>
  <c r="O56" i="45"/>
  <c r="P56" i="45" s="1"/>
  <c r="R56" i="45" s="1"/>
  <c r="S56" i="45" s="1"/>
  <c r="X56" i="45" s="1"/>
  <c r="Y56" i="45" s="1"/>
  <c r="O44" i="45"/>
  <c r="P44" i="45" s="1"/>
  <c r="R44" i="45" s="1"/>
  <c r="S44" i="45" s="1"/>
  <c r="X44" i="45" s="1"/>
  <c r="Y44" i="45" s="1"/>
  <c r="O75" i="45"/>
  <c r="P75" i="45" s="1"/>
  <c r="R75" i="45" s="1"/>
  <c r="S75" i="45" s="1"/>
  <c r="X75" i="45" s="1"/>
  <c r="Y75" i="45" s="1"/>
  <c r="O11" i="45"/>
  <c r="P11" i="45" s="1"/>
  <c r="R11" i="45" s="1"/>
  <c r="U11" i="45" s="1"/>
  <c r="V11" i="45" s="1"/>
  <c r="O82" i="45"/>
  <c r="P82" i="45" s="1"/>
  <c r="R82" i="45" s="1"/>
  <c r="U82" i="45" s="1"/>
  <c r="V82" i="45" s="1"/>
  <c r="O84" i="45"/>
  <c r="P84" i="45" s="1"/>
  <c r="R84" i="45" s="1"/>
  <c r="T84" i="45" s="1"/>
  <c r="O14" i="45"/>
  <c r="P14" i="45" s="1"/>
  <c r="R14" i="45" s="1"/>
  <c r="S14" i="45" s="1"/>
  <c r="X14" i="45" s="1"/>
  <c r="Y14" i="45" s="1"/>
  <c r="O85" i="45"/>
  <c r="P85" i="45" s="1"/>
  <c r="R85" i="45" s="1"/>
  <c r="U85" i="45" s="1"/>
  <c r="V85" i="45" s="1"/>
  <c r="O43" i="45"/>
  <c r="P43" i="45" s="1"/>
  <c r="R43" i="45" s="1"/>
  <c r="S43" i="45" s="1"/>
  <c r="X43" i="45" s="1"/>
  <c r="Y43" i="45" s="1"/>
  <c r="O10" i="45"/>
  <c r="P10" i="45" s="1"/>
  <c r="R10" i="45" s="1"/>
  <c r="S10" i="45" s="1"/>
  <c r="X10" i="45" s="1"/>
  <c r="Y10" i="45" s="1"/>
  <c r="O58" i="45"/>
  <c r="P58" i="45" s="1"/>
  <c r="R58" i="45" s="1"/>
  <c r="T58" i="45" s="1"/>
  <c r="O63" i="45"/>
  <c r="P63" i="45" s="1"/>
  <c r="R63" i="45" s="1"/>
  <c r="T63" i="45" s="1"/>
  <c r="O13" i="45"/>
  <c r="P13" i="45" s="1"/>
  <c r="R13" i="45" s="1"/>
  <c r="U13" i="45" s="1"/>
  <c r="V13" i="45" s="1"/>
  <c r="O48" i="45"/>
  <c r="P48" i="45" s="1"/>
  <c r="R48" i="45" s="1"/>
  <c r="T48" i="45" s="1"/>
  <c r="O38" i="45"/>
  <c r="P38" i="45" s="1"/>
  <c r="R38" i="45" s="1"/>
  <c r="S38" i="45" s="1"/>
  <c r="X38" i="45" s="1"/>
  <c r="Y38" i="45" s="1"/>
  <c r="O49" i="45"/>
  <c r="P49" i="45" s="1"/>
  <c r="R49" i="45" s="1"/>
  <c r="S49" i="45" s="1"/>
  <c r="X49" i="45" s="1"/>
  <c r="Y49" i="45" s="1"/>
  <c r="O45" i="45"/>
  <c r="P45" i="45" s="1"/>
  <c r="R45" i="45" s="1"/>
  <c r="S45" i="45" s="1"/>
  <c r="X45" i="45" s="1"/>
  <c r="Y45" i="45" s="1"/>
  <c r="O32" i="45"/>
  <c r="P32" i="45" s="1"/>
  <c r="R32" i="45" s="1"/>
  <c r="S32" i="45" s="1"/>
  <c r="X32" i="45" s="1"/>
  <c r="Y32" i="45" s="1"/>
  <c r="O36" i="45"/>
  <c r="P36" i="45" s="1"/>
  <c r="R36" i="45" s="1"/>
  <c r="S36" i="45" s="1"/>
  <c r="X36" i="45" s="1"/>
  <c r="Y36" i="45" s="1"/>
  <c r="O67" i="45"/>
  <c r="P67" i="45" s="1"/>
  <c r="R67" i="45" s="1"/>
  <c r="U67" i="45" s="1"/>
  <c r="V67" i="45" s="1"/>
  <c r="O66" i="45"/>
  <c r="P66" i="45" s="1"/>
  <c r="R66" i="45" s="1"/>
  <c r="S66" i="45" s="1"/>
  <c r="X66" i="45" s="1"/>
  <c r="Y66" i="45" s="1"/>
  <c r="O47" i="45"/>
  <c r="P47" i="45" s="1"/>
  <c r="R47" i="45" s="1"/>
  <c r="S47" i="45" s="1"/>
  <c r="X47" i="45" s="1"/>
  <c r="Y47" i="45" s="1"/>
  <c r="O73" i="45"/>
  <c r="P73" i="45" s="1"/>
  <c r="R73" i="45" s="1"/>
  <c r="S73" i="45" s="1"/>
  <c r="X73" i="45" s="1"/>
  <c r="Y73" i="45" s="1"/>
  <c r="O78" i="45"/>
  <c r="P78" i="45" s="1"/>
  <c r="R78" i="45" s="1"/>
  <c r="S78" i="45" s="1"/>
  <c r="X78" i="45" s="1"/>
  <c r="Y78" i="45" s="1"/>
  <c r="O76" i="45"/>
  <c r="P76" i="45" s="1"/>
  <c r="R76" i="45" s="1"/>
  <c r="S76" i="45" s="1"/>
  <c r="X76" i="45" s="1"/>
  <c r="Y76" i="45" s="1"/>
  <c r="O77" i="45"/>
  <c r="P77" i="45" s="1"/>
  <c r="R77" i="45" s="1"/>
  <c r="S77" i="45" s="1"/>
  <c r="X77" i="45" s="1"/>
  <c r="Y77" i="45" s="1"/>
  <c r="O72" i="45"/>
  <c r="P72" i="45" s="1"/>
  <c r="R72" i="45" s="1"/>
  <c r="S72" i="45" s="1"/>
  <c r="X72" i="45" s="1"/>
  <c r="Y72" i="45" s="1"/>
  <c r="O55" i="45"/>
  <c r="P55" i="45" s="1"/>
  <c r="R55" i="45" s="1"/>
  <c r="S55" i="45" s="1"/>
  <c r="X55" i="45" s="1"/>
  <c r="Y55" i="45" s="1"/>
  <c r="O20" i="45"/>
  <c r="P20" i="45" s="1"/>
  <c r="O24" i="45"/>
  <c r="P24" i="45" s="1"/>
  <c r="R24" i="45" s="1"/>
  <c r="S24" i="45" s="1"/>
  <c r="X24" i="45" s="1"/>
  <c r="Y24" i="45" s="1"/>
  <c r="O30" i="45"/>
  <c r="P30" i="45" s="1"/>
  <c r="R30" i="45" s="1"/>
  <c r="S30" i="45" s="1"/>
  <c r="X30" i="45" s="1"/>
  <c r="Y30" i="45" s="1"/>
  <c r="O17" i="45"/>
  <c r="P17" i="45" s="1"/>
  <c r="R17" i="45" s="1"/>
  <c r="U17" i="45" s="1"/>
  <c r="V17" i="45" s="1"/>
  <c r="O37" i="45"/>
  <c r="P37" i="45" s="1"/>
  <c r="R37" i="45" s="1"/>
  <c r="S37" i="45" s="1"/>
  <c r="X37" i="45" s="1"/>
  <c r="Y37" i="45" s="1"/>
  <c r="O16" i="45"/>
  <c r="P16" i="45" s="1"/>
  <c r="R16" i="45" s="1"/>
  <c r="S16" i="45" s="1"/>
  <c r="X16" i="45" s="1"/>
  <c r="Y16" i="45" s="1"/>
  <c r="O12" i="45"/>
  <c r="P12" i="45" s="1"/>
  <c r="R12" i="45" s="1"/>
  <c r="T12" i="45" s="1"/>
  <c r="O59" i="45"/>
  <c r="P59" i="45" s="1"/>
  <c r="R59" i="45" s="1"/>
  <c r="T59" i="45" s="1"/>
  <c r="O26" i="45"/>
  <c r="P26" i="45" s="1"/>
  <c r="R26" i="45" s="1"/>
  <c r="T26" i="45" s="1"/>
  <c r="O22" i="45"/>
  <c r="P22" i="45" s="1"/>
  <c r="R22" i="45" s="1"/>
  <c r="S22" i="45" s="1"/>
  <c r="X22" i="45" s="1"/>
  <c r="Y22" i="45" s="1"/>
  <c r="O29" i="45"/>
  <c r="P29" i="45" s="1"/>
  <c r="R29" i="45" s="1"/>
  <c r="T29" i="45" s="1"/>
  <c r="O34" i="45"/>
  <c r="P34" i="45" s="1"/>
  <c r="R34" i="45" s="1"/>
  <c r="S34" i="45" s="1"/>
  <c r="X34" i="45" s="1"/>
  <c r="Y34" i="45" s="1"/>
  <c r="O39" i="45"/>
  <c r="P39" i="45" s="1"/>
  <c r="R39" i="45" s="1"/>
  <c r="S39" i="45" s="1"/>
  <c r="X39" i="45" s="1"/>
  <c r="Y39" i="45" s="1"/>
  <c r="O65" i="45"/>
  <c r="P65" i="45" s="1"/>
  <c r="R65" i="45" s="1"/>
  <c r="S65" i="45" s="1"/>
  <c r="X65" i="45" s="1"/>
  <c r="Y65" i="45" s="1"/>
  <c r="O70" i="45"/>
  <c r="P70" i="45" s="1"/>
  <c r="R70" i="45" s="1"/>
  <c r="S70" i="45" s="1"/>
  <c r="X70" i="45" s="1"/>
  <c r="Y70" i="45" s="1"/>
  <c r="O9" i="45"/>
  <c r="P9" i="45" s="1"/>
  <c r="R9" i="45" s="1"/>
  <c r="O89" i="45"/>
  <c r="Q90" i="46"/>
  <c r="Q91" i="46"/>
  <c r="N7" i="46"/>
  <c r="O7" i="46" s="1"/>
  <c r="P8" i="45"/>
  <c r="R8" i="45" s="1"/>
  <c r="U8" i="45" s="1"/>
  <c r="P88" i="45"/>
  <c r="P89" i="45" s="1"/>
  <c r="N55" i="46"/>
  <c r="O55" i="46" s="1"/>
  <c r="N11" i="46"/>
  <c r="O11" i="46" s="1"/>
  <c r="N78" i="46"/>
  <c r="O78" i="46" s="1"/>
  <c r="N75" i="46"/>
  <c r="O75" i="46" s="1"/>
  <c r="N60" i="46"/>
  <c r="O60" i="46" s="1"/>
  <c r="N23" i="46"/>
  <c r="O23" i="46" s="1"/>
  <c r="N72" i="46"/>
  <c r="O72" i="46" s="1"/>
  <c r="N51" i="46"/>
  <c r="O51" i="46" s="1"/>
  <c r="N65" i="46"/>
  <c r="O65" i="46" s="1"/>
  <c r="N15" i="46"/>
  <c r="O15" i="46" s="1"/>
  <c r="N27" i="46"/>
  <c r="O27" i="46" s="1"/>
  <c r="N47" i="46"/>
  <c r="O47" i="46" s="1"/>
  <c r="N41" i="46"/>
  <c r="O41" i="46" s="1"/>
  <c r="N10" i="46"/>
  <c r="O10" i="46" s="1"/>
  <c r="N79" i="46"/>
  <c r="O79" i="46" s="1"/>
  <c r="N76" i="46"/>
  <c r="O76" i="46" s="1"/>
  <c r="N84" i="46"/>
  <c r="O84" i="46" s="1"/>
  <c r="N26" i="46"/>
  <c r="O26" i="46" s="1"/>
  <c r="N46" i="46"/>
  <c r="O46" i="46" s="1"/>
  <c r="N80" i="46"/>
  <c r="O80" i="46" s="1"/>
  <c r="N74" i="46"/>
  <c r="O74" i="46" s="1"/>
  <c r="N64" i="46"/>
  <c r="O64" i="46" s="1"/>
  <c r="N25" i="46"/>
  <c r="O25" i="46" s="1"/>
  <c r="N19" i="46"/>
  <c r="O19" i="46" s="1"/>
  <c r="N34" i="46"/>
  <c r="O34" i="46" s="1"/>
  <c r="N14" i="46"/>
  <c r="O14" i="46" s="1"/>
  <c r="N36" i="46"/>
  <c r="O36" i="46" s="1"/>
  <c r="N29" i="46"/>
  <c r="O29" i="46" s="1"/>
  <c r="N13" i="46"/>
  <c r="O13" i="46" s="1"/>
  <c r="S13" i="46" s="1"/>
  <c r="T13" i="46" s="1"/>
  <c r="W13" i="46" s="1"/>
  <c r="N67" i="46"/>
  <c r="O67" i="46" s="1"/>
  <c r="N82" i="46"/>
  <c r="O82" i="46" s="1"/>
  <c r="N59" i="46"/>
  <c r="O59" i="46" s="1"/>
  <c r="N87" i="46"/>
  <c r="O87" i="46" s="1"/>
  <c r="N61" i="46"/>
  <c r="O61" i="46" s="1"/>
  <c r="N62" i="46"/>
  <c r="O62" i="46" s="1"/>
  <c r="N35" i="46"/>
  <c r="O35" i="46" s="1"/>
  <c r="N77" i="46"/>
  <c r="O77" i="46" s="1"/>
  <c r="N57" i="46"/>
  <c r="O57" i="46" s="1"/>
  <c r="N38" i="46"/>
  <c r="O38" i="46" s="1"/>
  <c r="N17" i="46"/>
  <c r="O17" i="46" s="1"/>
  <c r="N68" i="46"/>
  <c r="O68" i="46" s="1"/>
  <c r="N40" i="46"/>
  <c r="O40" i="46" s="1"/>
  <c r="N22" i="46"/>
  <c r="O22" i="46" s="1"/>
  <c r="N8" i="46"/>
  <c r="O8" i="46" s="1"/>
  <c r="N50" i="46"/>
  <c r="O50" i="46" s="1"/>
  <c r="N86" i="46"/>
  <c r="O86" i="46" s="1"/>
  <c r="N63" i="46"/>
  <c r="O63" i="46" s="1"/>
  <c r="N53" i="46"/>
  <c r="O53" i="46" s="1"/>
  <c r="N81" i="46"/>
  <c r="O81" i="46" s="1"/>
  <c r="N9" i="46"/>
  <c r="O9" i="46" s="1"/>
  <c r="N48" i="46"/>
  <c r="O48" i="46" s="1"/>
  <c r="N54" i="46"/>
  <c r="O54" i="46" s="1"/>
  <c r="N83" i="46"/>
  <c r="O83" i="46" s="1"/>
  <c r="N45" i="46"/>
  <c r="O45" i="46" s="1"/>
  <c r="N66" i="46"/>
  <c r="O66" i="46" s="1"/>
  <c r="N56" i="46"/>
  <c r="O56" i="46" s="1"/>
  <c r="N21" i="46"/>
  <c r="O21" i="46" s="1"/>
  <c r="M88" i="46"/>
  <c r="N69" i="46"/>
  <c r="O69" i="46" s="1"/>
  <c r="N37" i="46"/>
  <c r="O37" i="46" s="1"/>
  <c r="N33" i="46"/>
  <c r="O33" i="46" s="1"/>
  <c r="N31" i="46"/>
  <c r="O31" i="46" s="1"/>
  <c r="N28" i="46"/>
  <c r="O28" i="46" s="1"/>
  <c r="N30" i="46"/>
  <c r="O30" i="46" s="1"/>
  <c r="N39" i="46"/>
  <c r="O39" i="46" s="1"/>
  <c r="N71" i="46"/>
  <c r="O71" i="46" s="1"/>
  <c r="N44" i="46"/>
  <c r="O44" i="46" s="1"/>
  <c r="N18" i="46"/>
  <c r="O18" i="46" s="1"/>
  <c r="N12" i="46"/>
  <c r="O12" i="46" s="1"/>
  <c r="N42" i="46"/>
  <c r="O42" i="46" s="1"/>
  <c r="N85" i="46"/>
  <c r="O85" i="46" s="1"/>
  <c r="N49" i="46"/>
  <c r="O49" i="46" s="1"/>
  <c r="N20" i="46"/>
  <c r="O20" i="46" s="1"/>
  <c r="N52" i="46"/>
  <c r="O52" i="46" s="1"/>
  <c r="N32" i="46"/>
  <c r="O32" i="46" s="1"/>
  <c r="N70" i="46"/>
  <c r="O70" i="46" s="1"/>
  <c r="N58" i="46"/>
  <c r="O58" i="46" s="1"/>
  <c r="N73" i="46"/>
  <c r="O73" i="46" s="1"/>
  <c r="N16" i="46"/>
  <c r="O16" i="46" s="1"/>
  <c r="N43" i="46"/>
  <c r="O43" i="46" s="1"/>
  <c r="N24" i="46"/>
  <c r="O24" i="46" s="1"/>
  <c r="M52" i="37"/>
  <c r="M70" i="37"/>
  <c r="M64" i="37"/>
  <c r="M14" i="37"/>
  <c r="M28" i="37"/>
  <c r="M15" i="37"/>
  <c r="M87" i="37"/>
  <c r="M85" i="37"/>
  <c r="M26" i="37"/>
  <c r="M21" i="37"/>
  <c r="M74" i="37"/>
  <c r="M49" i="37"/>
  <c r="M86" i="37"/>
  <c r="M10" i="37"/>
  <c r="M34" i="37"/>
  <c r="M18" i="37"/>
  <c r="M42" i="37"/>
  <c r="M17" i="37"/>
  <c r="M67" i="37"/>
  <c r="M79" i="37"/>
  <c r="M38" i="37"/>
  <c r="M43" i="37"/>
  <c r="M23" i="37"/>
  <c r="M77" i="37"/>
  <c r="M73" i="37"/>
  <c r="M36" i="37"/>
  <c r="M35" i="37"/>
  <c r="M29" i="37"/>
  <c r="M39" i="37"/>
  <c r="M80" i="37"/>
  <c r="M8" i="37"/>
  <c r="M44" i="37"/>
  <c r="M82" i="37"/>
  <c r="M20" i="37"/>
  <c r="M78" i="37"/>
  <c r="M62" i="37"/>
  <c r="M55" i="37"/>
  <c r="M45" i="37"/>
  <c r="M22" i="37"/>
  <c r="M37" i="37"/>
  <c r="M84" i="37"/>
  <c r="M47" i="37"/>
  <c r="M25" i="37"/>
  <c r="M54" i="37"/>
  <c r="M19" i="37"/>
  <c r="M71" i="37"/>
  <c r="M32" i="37"/>
  <c r="M56" i="37"/>
  <c r="M33" i="37"/>
  <c r="M66" i="37"/>
  <c r="M75" i="37"/>
  <c r="M57" i="37"/>
  <c r="M50" i="37"/>
  <c r="M30" i="37"/>
  <c r="M11" i="37"/>
  <c r="M76" i="37"/>
  <c r="M16" i="37"/>
  <c r="M63" i="37"/>
  <c r="M69" i="37"/>
  <c r="M81" i="37"/>
  <c r="M68" i="37"/>
  <c r="M72" i="37"/>
  <c r="M41" i="37"/>
  <c r="M60" i="37"/>
  <c r="M7" i="37"/>
  <c r="P7" i="37" s="1"/>
  <c r="M27" i="37"/>
  <c r="M12" i="37"/>
  <c r="M48" i="37"/>
  <c r="M13" i="37"/>
  <c r="M46" i="37"/>
  <c r="M24" i="37"/>
  <c r="M51" i="37"/>
  <c r="M59" i="37"/>
  <c r="M58" i="37"/>
  <c r="M31" i="37"/>
  <c r="M61" i="37"/>
  <c r="M9" i="37"/>
  <c r="M65" i="37"/>
  <c r="M40" i="37"/>
  <c r="M83" i="37"/>
  <c r="M53" i="37"/>
  <c r="H81" i="28"/>
  <c r="K81" i="28" s="1"/>
  <c r="H62" i="28"/>
  <c r="K62" i="28" s="1"/>
  <c r="H77" i="28"/>
  <c r="K77" i="28" s="1"/>
  <c r="H67" i="28"/>
  <c r="K67" i="28" s="1"/>
  <c r="H26" i="28"/>
  <c r="K26" i="28" s="1"/>
  <c r="H61" i="28"/>
  <c r="K61" i="28" s="1"/>
  <c r="G89" i="28"/>
  <c r="H30" i="28"/>
  <c r="K30" i="28" s="1"/>
  <c r="H76" i="28"/>
  <c r="K76" i="28" s="1"/>
  <c r="H36" i="28"/>
  <c r="K36" i="28" s="1"/>
  <c r="H49" i="28"/>
  <c r="K49" i="28" s="1"/>
  <c r="H38" i="28"/>
  <c r="K38" i="28" s="1"/>
  <c r="H75" i="28"/>
  <c r="K75" i="28" s="1"/>
  <c r="H72" i="28"/>
  <c r="K72" i="28" s="1"/>
  <c r="H59" i="28"/>
  <c r="K59" i="28" s="1"/>
  <c r="H28" i="28"/>
  <c r="K28" i="28" s="1"/>
  <c r="H51" i="28"/>
  <c r="K51" i="28" s="1"/>
  <c r="H19" i="28"/>
  <c r="K19" i="28" s="1"/>
  <c r="H23" i="28"/>
  <c r="K23" i="28" s="1"/>
  <c r="H43" i="28"/>
  <c r="K43" i="28" s="1"/>
  <c r="H78" i="28"/>
  <c r="K78" i="28" s="1"/>
  <c r="H15" i="28"/>
  <c r="K15" i="28" s="1"/>
  <c r="H31" i="28"/>
  <c r="K31" i="28" s="1"/>
  <c r="H37" i="28"/>
  <c r="K37" i="28" s="1"/>
  <c r="H53" i="28"/>
  <c r="K53" i="28" s="1"/>
  <c r="H11" i="28"/>
  <c r="K11" i="28" s="1"/>
  <c r="H71" i="28"/>
  <c r="K71" i="28" s="1"/>
  <c r="H44" i="28"/>
  <c r="K44" i="28" s="1"/>
  <c r="H16" i="28"/>
  <c r="K16" i="28" s="1"/>
  <c r="H45" i="28"/>
  <c r="K45" i="28" s="1"/>
  <c r="H22" i="28"/>
  <c r="K22" i="28" s="1"/>
  <c r="H74" i="28"/>
  <c r="K74" i="28" s="1"/>
  <c r="H14" i="28"/>
  <c r="K14" i="28" s="1"/>
  <c r="H47" i="28"/>
  <c r="K47" i="28" s="1"/>
  <c r="H56" i="28"/>
  <c r="K56" i="28" s="1"/>
  <c r="H64" i="28"/>
  <c r="K64" i="28" s="1"/>
  <c r="H34" i="28"/>
  <c r="K34" i="28" s="1"/>
  <c r="H24" i="28"/>
  <c r="K24" i="28" s="1"/>
  <c r="H10" i="28"/>
  <c r="K10" i="28" s="1"/>
  <c r="H12" i="28"/>
  <c r="K12" i="28" s="1"/>
  <c r="H73" i="28"/>
  <c r="K73" i="28" s="1"/>
  <c r="H55" i="28"/>
  <c r="K55" i="28" s="1"/>
  <c r="H80" i="28"/>
  <c r="K80" i="28" s="1"/>
  <c r="H20" i="28"/>
  <c r="K20" i="28" s="1"/>
  <c r="H52" i="28"/>
  <c r="K52" i="28" s="1"/>
  <c r="H32" i="28"/>
  <c r="K32" i="28" s="1"/>
  <c r="H86" i="28"/>
  <c r="K86" i="28" s="1"/>
  <c r="H66" i="28"/>
  <c r="K66" i="28" s="1"/>
  <c r="H60" i="28"/>
  <c r="K60" i="28" s="1"/>
  <c r="H87" i="28"/>
  <c r="K87" i="28" s="1"/>
  <c r="H29" i="28"/>
  <c r="K29" i="28" s="1"/>
  <c r="H65" i="28"/>
  <c r="K65" i="28" s="1"/>
  <c r="H40" i="28"/>
  <c r="K40" i="28" s="1"/>
  <c r="H58" i="28"/>
  <c r="K58" i="28" s="1"/>
  <c r="H39" i="28"/>
  <c r="K39" i="28" s="1"/>
  <c r="H85" i="28"/>
  <c r="K85" i="28" s="1"/>
  <c r="H46" i="28"/>
  <c r="K46" i="28" s="1"/>
  <c r="H68" i="28"/>
  <c r="K68" i="28" s="1"/>
  <c r="H41" i="28"/>
  <c r="K41" i="28" s="1"/>
  <c r="H42" i="28"/>
  <c r="K42" i="28" s="1"/>
  <c r="H33" i="28"/>
  <c r="K33" i="28" s="1"/>
  <c r="H79" i="28"/>
  <c r="K79" i="28" s="1"/>
  <c r="H48" i="28"/>
  <c r="K48" i="28" s="1"/>
  <c r="H21" i="28"/>
  <c r="K21" i="28" s="1"/>
  <c r="H9" i="28"/>
  <c r="K9" i="28" s="1"/>
  <c r="H13" i="28"/>
  <c r="K13" i="28" s="1"/>
  <c r="H25" i="28"/>
  <c r="K25" i="28" s="1"/>
  <c r="H17" i="28"/>
  <c r="K17" i="28" s="1"/>
  <c r="H70" i="28"/>
  <c r="K70" i="28" s="1"/>
  <c r="H18" i="28"/>
  <c r="K18" i="28" s="1"/>
  <c r="H63" i="28"/>
  <c r="K63" i="28" s="1"/>
  <c r="H35" i="28"/>
  <c r="K35" i="28" s="1"/>
  <c r="H69" i="28"/>
  <c r="K69" i="28" s="1"/>
  <c r="H54" i="28"/>
  <c r="K54" i="28" s="1"/>
  <c r="H84" i="28"/>
  <c r="K84" i="28" s="1"/>
  <c r="H27" i="28"/>
  <c r="K27" i="28" s="1"/>
  <c r="H82" i="28"/>
  <c r="K82" i="28" s="1"/>
  <c r="H83" i="28"/>
  <c r="K83" i="28" s="1"/>
  <c r="H50" i="28"/>
  <c r="K50" i="28" s="1"/>
  <c r="H57" i="28"/>
  <c r="K57" i="28" s="1"/>
  <c r="H8" i="28"/>
  <c r="K8" i="28" s="1"/>
  <c r="H7" i="28"/>
  <c r="K7" i="28" s="1"/>
  <c r="I83" i="33"/>
  <c r="Q86" i="33"/>
  <c r="T86" i="33" s="1"/>
  <c r="I9" i="33"/>
  <c r="I16" i="33"/>
  <c r="Q55" i="33"/>
  <c r="T55" i="33" s="1"/>
  <c r="Q63" i="33"/>
  <c r="T63" i="33" s="1"/>
  <c r="Q56" i="33"/>
  <c r="T56" i="33" s="1"/>
  <c r="I21" i="33"/>
  <c r="Q19" i="33"/>
  <c r="T19" i="33" s="1"/>
  <c r="I12" i="33"/>
  <c r="I47" i="33"/>
  <c r="I57" i="33"/>
  <c r="I67" i="33"/>
  <c r="Q50" i="33"/>
  <c r="T50" i="33" s="1"/>
  <c r="I81" i="33"/>
  <c r="I11" i="33"/>
  <c r="Q40" i="33"/>
  <c r="T40" i="33" s="1"/>
  <c r="I15" i="33"/>
  <c r="Q66" i="33"/>
  <c r="T66" i="33" s="1"/>
  <c r="Q62" i="33"/>
  <c r="T62" i="33" s="1"/>
  <c r="Q39" i="33"/>
  <c r="T39" i="33" s="1"/>
  <c r="I32" i="33"/>
  <c r="Q33" i="33"/>
  <c r="T33" i="33" s="1"/>
  <c r="I29" i="33"/>
  <c r="Q48" i="33"/>
  <c r="T48" i="33" s="1"/>
  <c r="Q69" i="33"/>
  <c r="T69" i="33" s="1"/>
  <c r="Q68" i="33"/>
  <c r="T68" i="33" s="1"/>
  <c r="Q85" i="33"/>
  <c r="T85" i="33" s="1"/>
  <c r="I61" i="33"/>
  <c r="I37" i="33"/>
  <c r="I79" i="33"/>
  <c r="I23" i="33"/>
  <c r="Q80" i="33"/>
  <c r="T80" i="33" s="1"/>
  <c r="I78" i="33"/>
  <c r="I87" i="33"/>
  <c r="Q54" i="33"/>
  <c r="T54" i="33" s="1"/>
  <c r="Q49" i="33"/>
  <c r="T49" i="33" s="1"/>
  <c r="Q38" i="33"/>
  <c r="T38" i="33" s="1"/>
  <c r="I76" i="33"/>
  <c r="I52" i="33"/>
  <c r="I20" i="33"/>
  <c r="Q46" i="33"/>
  <c r="T46" i="33" s="1"/>
  <c r="Q28" i="33"/>
  <c r="T28" i="33" s="1"/>
  <c r="Q45" i="33"/>
  <c r="T45" i="33" s="1"/>
  <c r="Q34" i="33"/>
  <c r="T34" i="33" s="1"/>
  <c r="Q24" i="33"/>
  <c r="T24" i="33" s="1"/>
  <c r="Q71" i="33"/>
  <c r="T71" i="33" s="1"/>
  <c r="Q41" i="33"/>
  <c r="T41" i="33" s="1"/>
  <c r="I82" i="33"/>
  <c r="Q60" i="33"/>
  <c r="T60" i="33" s="1"/>
  <c r="I35" i="33"/>
  <c r="Q65" i="33"/>
  <c r="T65" i="33" s="1"/>
  <c r="Q72" i="33"/>
  <c r="T72" i="33" s="1"/>
  <c r="I53" i="33"/>
  <c r="Q51" i="33"/>
  <c r="T51" i="33" s="1"/>
  <c r="Q44" i="33"/>
  <c r="T44" i="33" s="1"/>
  <c r="Q75" i="33"/>
  <c r="T75" i="33" s="1"/>
  <c r="Q31" i="33"/>
  <c r="T31" i="33" s="1"/>
  <c r="Q36" i="33"/>
  <c r="T36" i="33" s="1"/>
  <c r="Q8" i="33"/>
  <c r="T8" i="33" s="1"/>
  <c r="I30" i="33"/>
  <c r="Q17" i="33"/>
  <c r="T17" i="33" s="1"/>
  <c r="I22" i="33"/>
  <c r="H88" i="33"/>
  <c r="H89" i="33" s="1"/>
  <c r="Q58" i="33"/>
  <c r="T58" i="33" s="1"/>
  <c r="Q77" i="33"/>
  <c r="T77" i="33" s="1"/>
  <c r="Q74" i="33"/>
  <c r="T74" i="33" s="1"/>
  <c r="Q13" i="33"/>
  <c r="T13" i="33" s="1"/>
  <c r="I14" i="33"/>
  <c r="Q73" i="33"/>
  <c r="T73" i="33" s="1"/>
  <c r="Q43" i="33"/>
  <c r="T43" i="33" s="1"/>
  <c r="I59" i="33"/>
  <c r="Q84" i="33"/>
  <c r="T84" i="33" s="1"/>
  <c r="Q70" i="33"/>
  <c r="T70" i="33" s="1"/>
  <c r="Q25" i="33"/>
  <c r="T25" i="33" s="1"/>
  <c r="Q10" i="33"/>
  <c r="T10" i="33" s="1"/>
  <c r="I10" i="33"/>
  <c r="Q26" i="33"/>
  <c r="T26" i="33" s="1"/>
  <c r="Q27" i="33"/>
  <c r="T27" i="33" s="1"/>
  <c r="Q18" i="33"/>
  <c r="T18" i="33" s="1"/>
  <c r="Q64" i="33"/>
  <c r="T64" i="33" s="1"/>
  <c r="J17" i="33"/>
  <c r="R17" i="33"/>
  <c r="J55" i="33"/>
  <c r="R55" i="33"/>
  <c r="J19" i="33"/>
  <c r="R19" i="33"/>
  <c r="J31" i="33"/>
  <c r="R31" i="33"/>
  <c r="J60" i="33"/>
  <c r="R60" i="33"/>
  <c r="J54" i="33"/>
  <c r="R54" i="33"/>
  <c r="J40" i="33"/>
  <c r="R40" i="33"/>
  <c r="J56" i="33"/>
  <c r="R56" i="33"/>
  <c r="J70" i="33"/>
  <c r="R70" i="33"/>
  <c r="J25" i="33"/>
  <c r="R25" i="33"/>
  <c r="J66" i="33"/>
  <c r="R66" i="33"/>
  <c r="J65" i="33"/>
  <c r="R65" i="33"/>
  <c r="J80" i="33"/>
  <c r="R80" i="33"/>
  <c r="J86" i="33"/>
  <c r="R86" i="33"/>
  <c r="J26" i="33"/>
  <c r="R26" i="33"/>
  <c r="J72" i="33"/>
  <c r="R72" i="33"/>
  <c r="J38" i="33"/>
  <c r="R38" i="33"/>
  <c r="J24" i="33"/>
  <c r="R24" i="33"/>
  <c r="J71" i="33"/>
  <c r="R71" i="33"/>
  <c r="J13" i="33"/>
  <c r="R13" i="33"/>
  <c r="J45" i="33"/>
  <c r="R45" i="33"/>
  <c r="J51" i="33"/>
  <c r="R51" i="33"/>
  <c r="J84" i="33"/>
  <c r="R84" i="33"/>
  <c r="J49" i="33"/>
  <c r="R49" i="33"/>
  <c r="J50" i="33"/>
  <c r="R50" i="33"/>
  <c r="J27" i="33"/>
  <c r="R27" i="33"/>
  <c r="J46" i="33"/>
  <c r="R46" i="33"/>
  <c r="J74" i="33"/>
  <c r="R74" i="33"/>
  <c r="J85" i="33"/>
  <c r="R85" i="33"/>
  <c r="J18" i="33"/>
  <c r="R18" i="33"/>
  <c r="J28" i="33"/>
  <c r="R28" i="33"/>
  <c r="J36" i="33"/>
  <c r="R36" i="33"/>
  <c r="J48" i="33"/>
  <c r="R48" i="33"/>
  <c r="J39" i="33"/>
  <c r="R39" i="33"/>
  <c r="J77" i="33"/>
  <c r="R77" i="33"/>
  <c r="J62" i="33"/>
  <c r="R62" i="33"/>
  <c r="J64" i="33"/>
  <c r="R64" i="33"/>
  <c r="J42" i="33"/>
  <c r="R42" i="33"/>
  <c r="J34" i="33"/>
  <c r="R34" i="33"/>
  <c r="J69" i="33"/>
  <c r="R69" i="33"/>
  <c r="J43" i="33"/>
  <c r="R43" i="33"/>
  <c r="J73" i="33"/>
  <c r="R73" i="33"/>
  <c r="J75" i="33"/>
  <c r="R75" i="33"/>
  <c r="J58" i="33"/>
  <c r="R58" i="33"/>
  <c r="J8" i="33"/>
  <c r="R8" i="33"/>
  <c r="J63" i="33"/>
  <c r="R63" i="33"/>
  <c r="J33" i="33"/>
  <c r="R33" i="33"/>
  <c r="J41" i="33"/>
  <c r="R41" i="33"/>
  <c r="J68" i="33"/>
  <c r="R68" i="33"/>
  <c r="J44" i="33"/>
  <c r="R44" i="33"/>
  <c r="R7" i="33" l="1"/>
  <c r="J7" i="33"/>
  <c r="T90" i="33"/>
  <c r="S7" i="45"/>
  <c r="T91" i="33"/>
  <c r="N30" i="37"/>
  <c r="O30" i="37" s="1"/>
  <c r="R30" i="37" s="1"/>
  <c r="P30" i="37"/>
  <c r="N45" i="37"/>
  <c r="O45" i="37" s="1"/>
  <c r="R45" i="37" s="1"/>
  <c r="P45" i="37"/>
  <c r="N10" i="37"/>
  <c r="O10" i="37" s="1"/>
  <c r="R10" i="37" s="1"/>
  <c r="S10" i="37" s="1"/>
  <c r="P10" i="37"/>
  <c r="N9" i="37"/>
  <c r="O9" i="37" s="1"/>
  <c r="R9" i="37" s="1"/>
  <c r="S9" i="37" s="1"/>
  <c r="P9" i="37"/>
  <c r="N13" i="37"/>
  <c r="O13" i="37" s="1"/>
  <c r="R13" i="37" s="1"/>
  <c r="P13" i="37"/>
  <c r="N68" i="37"/>
  <c r="O68" i="37" s="1"/>
  <c r="P68" i="37"/>
  <c r="N50" i="37"/>
  <c r="O50" i="37" s="1"/>
  <c r="R50" i="37" s="1"/>
  <c r="P50" i="37"/>
  <c r="N19" i="37"/>
  <c r="O19" i="37" s="1"/>
  <c r="P19" i="37"/>
  <c r="N55" i="37"/>
  <c r="O55" i="37" s="1"/>
  <c r="P55" i="37"/>
  <c r="N39" i="37"/>
  <c r="O39" i="37" s="1"/>
  <c r="P39" i="37"/>
  <c r="N38" i="37"/>
  <c r="O38" i="37" s="1"/>
  <c r="R38" i="37" s="1"/>
  <c r="P38" i="37"/>
  <c r="N86" i="37"/>
  <c r="O86" i="37" s="1"/>
  <c r="R86" i="37" s="1"/>
  <c r="P86" i="37"/>
  <c r="N28" i="37"/>
  <c r="O28" i="37" s="1"/>
  <c r="P28" i="37"/>
  <c r="N61" i="37"/>
  <c r="O61" i="37" s="1"/>
  <c r="R61" i="37" s="1"/>
  <c r="P61" i="37"/>
  <c r="N48" i="37"/>
  <c r="O48" i="37" s="1"/>
  <c r="R48" i="37" s="1"/>
  <c r="P48" i="37"/>
  <c r="N81" i="37"/>
  <c r="O81" i="37" s="1"/>
  <c r="R81" i="37" s="1"/>
  <c r="P81" i="37"/>
  <c r="N57" i="37"/>
  <c r="P57" i="37"/>
  <c r="N54" i="37"/>
  <c r="O54" i="37" s="1"/>
  <c r="R54" i="37" s="1"/>
  <c r="P54" i="37"/>
  <c r="N62" i="37"/>
  <c r="O62" i="37" s="1"/>
  <c r="R62" i="37" s="1"/>
  <c r="P62" i="37"/>
  <c r="N29" i="37"/>
  <c r="O29" i="37" s="1"/>
  <c r="P29" i="37"/>
  <c r="N79" i="37"/>
  <c r="O79" i="37" s="1"/>
  <c r="R79" i="37" s="1"/>
  <c r="P79" i="37"/>
  <c r="N49" i="37"/>
  <c r="O49" i="37" s="1"/>
  <c r="P49" i="37"/>
  <c r="N14" i="37"/>
  <c r="O14" i="37" s="1"/>
  <c r="R14" i="37" s="1"/>
  <c r="P14" i="37"/>
  <c r="N58" i="37"/>
  <c r="O58" i="37" s="1"/>
  <c r="R58" i="37" s="1"/>
  <c r="P58" i="37"/>
  <c r="N27" i="37"/>
  <c r="O27" i="37" s="1"/>
  <c r="P27" i="37"/>
  <c r="N63" i="37"/>
  <c r="O63" i="37" s="1"/>
  <c r="R63" i="37" s="1"/>
  <c r="P63" i="37"/>
  <c r="N66" i="37"/>
  <c r="O66" i="37" s="1"/>
  <c r="R66" i="37" s="1"/>
  <c r="P66" i="37"/>
  <c r="N47" i="37"/>
  <c r="O47" i="37" s="1"/>
  <c r="R47" i="37" s="1"/>
  <c r="P47" i="37"/>
  <c r="N20" i="37"/>
  <c r="P20" i="37"/>
  <c r="N36" i="37"/>
  <c r="O36" i="37" s="1"/>
  <c r="R36" i="37" s="1"/>
  <c r="P36" i="37"/>
  <c r="N17" i="37"/>
  <c r="O17" i="37" s="1"/>
  <c r="P17" i="37"/>
  <c r="N21" i="37"/>
  <c r="O21" i="37" s="1"/>
  <c r="R21" i="37" s="1"/>
  <c r="P21" i="37"/>
  <c r="N70" i="37"/>
  <c r="O70" i="37" s="1"/>
  <c r="R70" i="37" s="1"/>
  <c r="P70" i="37"/>
  <c r="N72" i="37"/>
  <c r="O72" i="37" s="1"/>
  <c r="R72" i="37" s="1"/>
  <c r="P72" i="37"/>
  <c r="N80" i="37"/>
  <c r="O80" i="37" s="1"/>
  <c r="R80" i="37" s="1"/>
  <c r="P80" i="37"/>
  <c r="N12" i="37"/>
  <c r="O12" i="37" s="1"/>
  <c r="P12" i="37"/>
  <c r="N35" i="37"/>
  <c r="O35" i="37" s="1"/>
  <c r="R35" i="37" s="1"/>
  <c r="P35" i="37"/>
  <c r="N53" i="37"/>
  <c r="O53" i="37" s="1"/>
  <c r="R53" i="37" s="1"/>
  <c r="P53" i="37"/>
  <c r="N59" i="37"/>
  <c r="O59" i="37" s="1"/>
  <c r="R59" i="37" s="1"/>
  <c r="P59" i="37"/>
  <c r="N16" i="37"/>
  <c r="O16" i="37" s="1"/>
  <c r="P16" i="37"/>
  <c r="N33" i="37"/>
  <c r="O33" i="37" s="1"/>
  <c r="P33" i="37"/>
  <c r="N84" i="37"/>
  <c r="O84" i="37" s="1"/>
  <c r="R84" i="37" s="1"/>
  <c r="P84" i="37"/>
  <c r="N82" i="37"/>
  <c r="O82" i="37" s="1"/>
  <c r="R82" i="37" s="1"/>
  <c r="P82" i="37"/>
  <c r="N73" i="37"/>
  <c r="O73" i="37" s="1"/>
  <c r="P73" i="37"/>
  <c r="N42" i="37"/>
  <c r="O42" i="37" s="1"/>
  <c r="P42" i="37"/>
  <c r="N26" i="37"/>
  <c r="O26" i="37" s="1"/>
  <c r="R26" i="37" s="1"/>
  <c r="P26" i="37"/>
  <c r="N52" i="37"/>
  <c r="O52" i="37" s="1"/>
  <c r="R52" i="37" s="1"/>
  <c r="P52" i="37"/>
  <c r="N65" i="37"/>
  <c r="O65" i="37" s="1"/>
  <c r="R65" i="37" s="1"/>
  <c r="P65" i="37"/>
  <c r="N43" i="37"/>
  <c r="O43" i="37" s="1"/>
  <c r="R43" i="37" s="1"/>
  <c r="P43" i="37"/>
  <c r="N78" i="37"/>
  <c r="O78" i="37" s="1"/>
  <c r="R78" i="37" s="1"/>
  <c r="P78" i="37"/>
  <c r="N83" i="37"/>
  <c r="O83" i="37" s="1"/>
  <c r="R83" i="37" s="1"/>
  <c r="P83" i="37"/>
  <c r="N51" i="37"/>
  <c r="O51" i="37" s="1"/>
  <c r="R51" i="37" s="1"/>
  <c r="P51" i="37"/>
  <c r="N60" i="37"/>
  <c r="P60" i="37"/>
  <c r="N76" i="37"/>
  <c r="O76" i="37" s="1"/>
  <c r="R76" i="37" s="1"/>
  <c r="P76" i="37"/>
  <c r="N56" i="37"/>
  <c r="O56" i="37" s="1"/>
  <c r="R56" i="37" s="1"/>
  <c r="P56" i="37"/>
  <c r="N37" i="37"/>
  <c r="O37" i="37" s="1"/>
  <c r="R37" i="37" s="1"/>
  <c r="P37" i="37"/>
  <c r="N44" i="37"/>
  <c r="O44" i="37" s="1"/>
  <c r="R44" i="37" s="1"/>
  <c r="P44" i="37"/>
  <c r="N77" i="37"/>
  <c r="O77" i="37" s="1"/>
  <c r="R77" i="37" s="1"/>
  <c r="P77" i="37"/>
  <c r="N18" i="37"/>
  <c r="O18" i="37" s="1"/>
  <c r="P18" i="37"/>
  <c r="N85" i="37"/>
  <c r="O85" i="37" s="1"/>
  <c r="R85" i="37" s="1"/>
  <c r="P85" i="37"/>
  <c r="N46" i="37"/>
  <c r="O46" i="37" s="1"/>
  <c r="P46" i="37"/>
  <c r="N71" i="37"/>
  <c r="O71" i="37" s="1"/>
  <c r="R71" i="37" s="1"/>
  <c r="P71" i="37"/>
  <c r="N15" i="37"/>
  <c r="O15" i="37" s="1"/>
  <c r="R15" i="37" s="1"/>
  <c r="P15" i="37"/>
  <c r="N31" i="37"/>
  <c r="O31" i="37" s="1"/>
  <c r="R31" i="37" s="1"/>
  <c r="P31" i="37"/>
  <c r="N69" i="37"/>
  <c r="O69" i="37" s="1"/>
  <c r="R69" i="37" s="1"/>
  <c r="P69" i="37"/>
  <c r="N75" i="37"/>
  <c r="O75" i="37" s="1"/>
  <c r="R75" i="37" s="1"/>
  <c r="P75" i="37"/>
  <c r="N25" i="37"/>
  <c r="O25" i="37" s="1"/>
  <c r="R25" i="37" s="1"/>
  <c r="P25" i="37"/>
  <c r="N67" i="37"/>
  <c r="O67" i="37" s="1"/>
  <c r="R67" i="37" s="1"/>
  <c r="P67" i="37"/>
  <c r="N74" i="37"/>
  <c r="O74" i="37" s="1"/>
  <c r="R74" i="37" s="1"/>
  <c r="P74" i="37"/>
  <c r="N64" i="37"/>
  <c r="O64" i="37" s="1"/>
  <c r="R64" i="37" s="1"/>
  <c r="P64" i="37"/>
  <c r="N40" i="37"/>
  <c r="O40" i="37" s="1"/>
  <c r="P40" i="37"/>
  <c r="N24" i="37"/>
  <c r="O24" i="37" s="1"/>
  <c r="R24" i="37" s="1"/>
  <c r="P24" i="37"/>
  <c r="N41" i="37"/>
  <c r="O41" i="37" s="1"/>
  <c r="P41" i="37"/>
  <c r="N11" i="37"/>
  <c r="O11" i="37" s="1"/>
  <c r="R11" i="37" s="1"/>
  <c r="P11" i="37"/>
  <c r="N32" i="37"/>
  <c r="O32" i="37" s="1"/>
  <c r="P32" i="37"/>
  <c r="N22" i="37"/>
  <c r="O22" i="37" s="1"/>
  <c r="R22" i="37" s="1"/>
  <c r="P22" i="37"/>
  <c r="N8" i="37"/>
  <c r="O8" i="37" s="1"/>
  <c r="R8" i="37" s="1"/>
  <c r="P8" i="37"/>
  <c r="N23" i="37"/>
  <c r="O23" i="37" s="1"/>
  <c r="R23" i="37" s="1"/>
  <c r="P23" i="37"/>
  <c r="N34" i="37"/>
  <c r="O34" i="37" s="1"/>
  <c r="R34" i="37" s="1"/>
  <c r="P34" i="37"/>
  <c r="N87" i="37"/>
  <c r="O87" i="37" s="1"/>
  <c r="R87" i="37" s="1"/>
  <c r="S87" i="37" s="1"/>
  <c r="P87" i="37"/>
  <c r="M89" i="46"/>
  <c r="Q88" i="46"/>
  <c r="X7" i="45"/>
  <c r="Y7" i="45" s="1"/>
  <c r="Z7" i="45" s="1"/>
  <c r="R20" i="45"/>
  <c r="S20" i="45" s="1"/>
  <c r="X20" i="45" s="1"/>
  <c r="Y20" i="45" s="1"/>
  <c r="Z24" i="45"/>
  <c r="AB24" i="45"/>
  <c r="AC24" i="45" s="1"/>
  <c r="AA24" i="45"/>
  <c r="Z62" i="45"/>
  <c r="AB62" i="45"/>
  <c r="AC62" i="45" s="1"/>
  <c r="AA62" i="45"/>
  <c r="Z69" i="45"/>
  <c r="AB69" i="45"/>
  <c r="AC69" i="45" s="1"/>
  <c r="AA69" i="45"/>
  <c r="Z40" i="45"/>
  <c r="AB40" i="45"/>
  <c r="AC40" i="45" s="1"/>
  <c r="AA40" i="45"/>
  <c r="Z37" i="45"/>
  <c r="AB37" i="45"/>
  <c r="AC37" i="45" s="1"/>
  <c r="AA37" i="45"/>
  <c r="Z28" i="45"/>
  <c r="AB28" i="45"/>
  <c r="AC28" i="45" s="1"/>
  <c r="AA28" i="45"/>
  <c r="Z75" i="45"/>
  <c r="AB75" i="45"/>
  <c r="AC75" i="45" s="1"/>
  <c r="AA75" i="45"/>
  <c r="Z10" i="45"/>
  <c r="AA10" i="45"/>
  <c r="AB10" i="45"/>
  <c r="AC10" i="45" s="1"/>
  <c r="Z56" i="45"/>
  <c r="AB56" i="45"/>
  <c r="AC56" i="45" s="1"/>
  <c r="AA56" i="45"/>
  <c r="Z46" i="45"/>
  <c r="AB46" i="45"/>
  <c r="AC46" i="45" s="1"/>
  <c r="AA46" i="45"/>
  <c r="Z45" i="45"/>
  <c r="AB45" i="45"/>
  <c r="AC45" i="45" s="1"/>
  <c r="AA45" i="45"/>
  <c r="Z44" i="45"/>
  <c r="AB44" i="45"/>
  <c r="AC44" i="45" s="1"/>
  <c r="AA44" i="45"/>
  <c r="Z18" i="45"/>
  <c r="AB18" i="45"/>
  <c r="AC18" i="45" s="1"/>
  <c r="AA18" i="45"/>
  <c r="Z76" i="45"/>
  <c r="AB76" i="45"/>
  <c r="AC76" i="45" s="1"/>
  <c r="AA76" i="45"/>
  <c r="Z78" i="45"/>
  <c r="AB78" i="45"/>
  <c r="AC78" i="45" s="1"/>
  <c r="AA78" i="45"/>
  <c r="Z39" i="45"/>
  <c r="AB39" i="45"/>
  <c r="AC39" i="45" s="1"/>
  <c r="AA39" i="45"/>
  <c r="Z81" i="45"/>
  <c r="AA81" i="45"/>
  <c r="AB81" i="45"/>
  <c r="AC81" i="45" s="1"/>
  <c r="Z54" i="45"/>
  <c r="AB54" i="45"/>
  <c r="AC54" i="45" s="1"/>
  <c r="AA54" i="45"/>
  <c r="Z61" i="45"/>
  <c r="AB61" i="45"/>
  <c r="AC61" i="45" s="1"/>
  <c r="AA61" i="45"/>
  <c r="Z53" i="45"/>
  <c r="AB53" i="45"/>
  <c r="AC53" i="45" s="1"/>
  <c r="AA53" i="45"/>
  <c r="Z38" i="45"/>
  <c r="AB38" i="45"/>
  <c r="AC38" i="45" s="1"/>
  <c r="AA38" i="45"/>
  <c r="Z23" i="45"/>
  <c r="AB23" i="45"/>
  <c r="AC23" i="45" s="1"/>
  <c r="AA23" i="45"/>
  <c r="Z57" i="45"/>
  <c r="AA57" i="45"/>
  <c r="AB57" i="45"/>
  <c r="AC57" i="45" s="1"/>
  <c r="Z30" i="45"/>
  <c r="AB30" i="45"/>
  <c r="AC30" i="45" s="1"/>
  <c r="AA30" i="45"/>
  <c r="Z52" i="45"/>
  <c r="AB52" i="45"/>
  <c r="AC52" i="45" s="1"/>
  <c r="AA52" i="45"/>
  <c r="Z51" i="45"/>
  <c r="AA51" i="45"/>
  <c r="AB51" i="45"/>
  <c r="AC51" i="45" s="1"/>
  <c r="Z21" i="45"/>
  <c r="AB21" i="45"/>
  <c r="AC21" i="45" s="1"/>
  <c r="AA21" i="45"/>
  <c r="Z36" i="45"/>
  <c r="AB36" i="45"/>
  <c r="AC36" i="45" s="1"/>
  <c r="AA36" i="45"/>
  <c r="Z87" i="45"/>
  <c r="AB87" i="45"/>
  <c r="AC87" i="45" s="1"/>
  <c r="Z16" i="45"/>
  <c r="AB16" i="45"/>
  <c r="AC16" i="45" s="1"/>
  <c r="AA16" i="45"/>
  <c r="Z49" i="45"/>
  <c r="AA49" i="45"/>
  <c r="AB49" i="45"/>
  <c r="AC49" i="45" s="1"/>
  <c r="Z32" i="45"/>
  <c r="AB32" i="45"/>
  <c r="AC32" i="45" s="1"/>
  <c r="AA32" i="45"/>
  <c r="Z66" i="45"/>
  <c r="AA66" i="45"/>
  <c r="AB66" i="45"/>
  <c r="AC66" i="45" s="1"/>
  <c r="Z43" i="45"/>
  <c r="AB43" i="45"/>
  <c r="AC43" i="45" s="1"/>
  <c r="AA43" i="45"/>
  <c r="Z80" i="45"/>
  <c r="AB80" i="45"/>
  <c r="AC80" i="45" s="1"/>
  <c r="AA80" i="45"/>
  <c r="Z77" i="45"/>
  <c r="AB77" i="45"/>
  <c r="AC77" i="45" s="1"/>
  <c r="AA77" i="45"/>
  <c r="Z72" i="45"/>
  <c r="AB72" i="45"/>
  <c r="AC72" i="45" s="1"/>
  <c r="AA72" i="45"/>
  <c r="Z71" i="45"/>
  <c r="AB71" i="45"/>
  <c r="AC71" i="45" s="1"/>
  <c r="AA71" i="45"/>
  <c r="S86" i="45"/>
  <c r="X86" i="45" s="1"/>
  <c r="Y86" i="45" s="1"/>
  <c r="Z64" i="45"/>
  <c r="AB64" i="45"/>
  <c r="AC64" i="45" s="1"/>
  <c r="AA64" i="45"/>
  <c r="Z55" i="45"/>
  <c r="AB55" i="45"/>
  <c r="AC55" i="45" s="1"/>
  <c r="AA55" i="45"/>
  <c r="Z70" i="45"/>
  <c r="AB70" i="45"/>
  <c r="AC70" i="45" s="1"/>
  <c r="AA70" i="45"/>
  <c r="U9" i="45"/>
  <c r="V9" i="45" s="1"/>
  <c r="Z15" i="45"/>
  <c r="AB15" i="45"/>
  <c r="AC15" i="45" s="1"/>
  <c r="AA15" i="45"/>
  <c r="Z27" i="45"/>
  <c r="AA27" i="45"/>
  <c r="AB27" i="45"/>
  <c r="AC27" i="45" s="1"/>
  <c r="Z65" i="45"/>
  <c r="AA65" i="45"/>
  <c r="AB65" i="45"/>
  <c r="AC65" i="45" s="1"/>
  <c r="Z60" i="45"/>
  <c r="AB60" i="45"/>
  <c r="AC60" i="45" s="1"/>
  <c r="AA60" i="45"/>
  <c r="Z34" i="45"/>
  <c r="AA34" i="45"/>
  <c r="AB34" i="45"/>
  <c r="AC34" i="45" s="1"/>
  <c r="Z73" i="45"/>
  <c r="AA73" i="45"/>
  <c r="AB73" i="45"/>
  <c r="AC73" i="45" s="1"/>
  <c r="Z83" i="45"/>
  <c r="AA83" i="45"/>
  <c r="AB83" i="45"/>
  <c r="AC83" i="45" s="1"/>
  <c r="Z47" i="45"/>
  <c r="AB47" i="45"/>
  <c r="AC47" i="45" s="1"/>
  <c r="AA47" i="45"/>
  <c r="Z14" i="45"/>
  <c r="AA14" i="45"/>
  <c r="AB14" i="45"/>
  <c r="AC14" i="45" s="1"/>
  <c r="Z22" i="45"/>
  <c r="AB22" i="45"/>
  <c r="AC22" i="45" s="1"/>
  <c r="AA22" i="45"/>
  <c r="Z35" i="45"/>
  <c r="AA35" i="45"/>
  <c r="AB35" i="45"/>
  <c r="AC35" i="45" s="1"/>
  <c r="T86" i="45"/>
  <c r="T8" i="45"/>
  <c r="V8" i="45"/>
  <c r="S7" i="46"/>
  <c r="P91" i="46"/>
  <c r="P90" i="46"/>
  <c r="X13" i="46"/>
  <c r="O90" i="46"/>
  <c r="O91" i="46"/>
  <c r="O88" i="46"/>
  <c r="O89" i="46" s="1"/>
  <c r="U48" i="45"/>
  <c r="V48" i="45" s="1"/>
  <c r="S29" i="45"/>
  <c r="X29" i="45" s="1"/>
  <c r="Y29" i="45" s="1"/>
  <c r="S48" i="45"/>
  <c r="X48" i="45" s="1"/>
  <c r="Y48" i="45" s="1"/>
  <c r="U29" i="45"/>
  <c r="V29" i="45" s="1"/>
  <c r="U35" i="45"/>
  <c r="V35" i="45" s="1"/>
  <c r="T22" i="45"/>
  <c r="T35" i="45"/>
  <c r="T43" i="45"/>
  <c r="T80" i="45"/>
  <c r="U58" i="45"/>
  <c r="V58" i="45" s="1"/>
  <c r="U15" i="45"/>
  <c r="V15" i="45" s="1"/>
  <c r="T32" i="45"/>
  <c r="U27" i="45"/>
  <c r="V27" i="45" s="1"/>
  <c r="T69" i="45"/>
  <c r="U22" i="45"/>
  <c r="V22" i="45" s="1"/>
  <c r="U62" i="45"/>
  <c r="V62" i="45" s="1"/>
  <c r="U69" i="45"/>
  <c r="V69" i="45" s="1"/>
  <c r="T72" i="45"/>
  <c r="U39" i="45"/>
  <c r="V39" i="45" s="1"/>
  <c r="U84" i="45"/>
  <c r="V84" i="45" s="1"/>
  <c r="T85" i="45"/>
  <c r="U55" i="45"/>
  <c r="V55" i="45" s="1"/>
  <c r="S85" i="45"/>
  <c r="X85" i="45" s="1"/>
  <c r="Y85" i="45" s="1"/>
  <c r="T11" i="45"/>
  <c r="S84" i="45"/>
  <c r="X84" i="45" s="1"/>
  <c r="Y84" i="45" s="1"/>
  <c r="U51" i="45"/>
  <c r="V51" i="45" s="1"/>
  <c r="U32" i="45"/>
  <c r="V32" i="45" s="1"/>
  <c r="T42" i="45"/>
  <c r="T33" i="45"/>
  <c r="U36" i="45"/>
  <c r="V36" i="45" s="1"/>
  <c r="S41" i="45"/>
  <c r="X41" i="45" s="1"/>
  <c r="Y41" i="45" s="1"/>
  <c r="U30" i="45"/>
  <c r="V30" i="45" s="1"/>
  <c r="T50" i="45"/>
  <c r="S50" i="45"/>
  <c r="X50" i="45" s="1"/>
  <c r="Y50" i="45" s="1"/>
  <c r="U71" i="45"/>
  <c r="V71" i="45" s="1"/>
  <c r="T51" i="45"/>
  <c r="U79" i="45"/>
  <c r="V79" i="45" s="1"/>
  <c r="U87" i="45"/>
  <c r="V87" i="45" s="1"/>
  <c r="S42" i="45"/>
  <c r="X42" i="45" s="1"/>
  <c r="Y42" i="45" s="1"/>
  <c r="U18" i="45"/>
  <c r="V18" i="45" s="1"/>
  <c r="T41" i="45"/>
  <c r="T36" i="45"/>
  <c r="T16" i="45"/>
  <c r="U57" i="45"/>
  <c r="V57" i="45" s="1"/>
  <c r="U19" i="45"/>
  <c r="V19" i="45" s="1"/>
  <c r="T28" i="45"/>
  <c r="U81" i="45"/>
  <c r="V81" i="45" s="1"/>
  <c r="U45" i="45"/>
  <c r="V45" i="45" s="1"/>
  <c r="T37" i="45"/>
  <c r="U38" i="45"/>
  <c r="V38" i="45" s="1"/>
  <c r="U59" i="45"/>
  <c r="V59" i="45" s="1"/>
  <c r="T67" i="45"/>
  <c r="U16" i="45"/>
  <c r="V16" i="45" s="1"/>
  <c r="T76" i="45"/>
  <c r="U78" i="45"/>
  <c r="V78" i="45" s="1"/>
  <c r="S19" i="45"/>
  <c r="X19" i="45" s="1"/>
  <c r="Y19" i="45" s="1"/>
  <c r="T54" i="45"/>
  <c r="U23" i="45"/>
  <c r="V23" i="45" s="1"/>
  <c r="T71" i="45"/>
  <c r="S11" i="45"/>
  <c r="X11" i="45" s="1"/>
  <c r="Y11" i="45" s="1"/>
  <c r="T77" i="45"/>
  <c r="U66" i="45"/>
  <c r="V66" i="45" s="1"/>
  <c r="U64" i="45"/>
  <c r="V64" i="45" s="1"/>
  <c r="S12" i="45"/>
  <c r="X12" i="45" s="1"/>
  <c r="Y12" i="45" s="1"/>
  <c r="U77" i="45"/>
  <c r="V77" i="45" s="1"/>
  <c r="U25" i="45"/>
  <c r="V25" i="45" s="1"/>
  <c r="T55" i="45"/>
  <c r="T66" i="45"/>
  <c r="U12" i="45"/>
  <c r="V12" i="45" s="1"/>
  <c r="U74" i="45"/>
  <c r="V74" i="45" s="1"/>
  <c r="S8" i="45"/>
  <c r="X8" i="45" s="1"/>
  <c r="Y8" i="45" s="1"/>
  <c r="S74" i="45"/>
  <c r="X74" i="45" s="1"/>
  <c r="Y74" i="45" s="1"/>
  <c r="U63" i="45"/>
  <c r="V63" i="45" s="1"/>
  <c r="U80" i="45"/>
  <c r="V80" i="45" s="1"/>
  <c r="U43" i="45"/>
  <c r="V43" i="45" s="1"/>
  <c r="T18" i="45"/>
  <c r="U26" i="45"/>
  <c r="V26" i="45" s="1"/>
  <c r="T61" i="45"/>
  <c r="S67" i="45"/>
  <c r="X67" i="45" s="1"/>
  <c r="Y67" i="45" s="1"/>
  <c r="T64" i="45"/>
  <c r="T23" i="45"/>
  <c r="T87" i="45"/>
  <c r="T52" i="45"/>
  <c r="U21" i="45"/>
  <c r="V21" i="45" s="1"/>
  <c r="S33" i="45"/>
  <c r="X33" i="45" s="1"/>
  <c r="Y33" i="45" s="1"/>
  <c r="U28" i="45"/>
  <c r="V28" i="45" s="1"/>
  <c r="U37" i="45"/>
  <c r="V37" i="45" s="1"/>
  <c r="T44" i="45"/>
  <c r="U40" i="45"/>
  <c r="V40" i="45" s="1"/>
  <c r="U52" i="45"/>
  <c r="V52" i="45" s="1"/>
  <c r="T45" i="45"/>
  <c r="S58" i="45"/>
  <c r="X58" i="45" s="1"/>
  <c r="Y58" i="45" s="1"/>
  <c r="U54" i="45"/>
  <c r="V54" i="45" s="1"/>
  <c r="T78" i="45"/>
  <c r="U76" i="45"/>
  <c r="V76" i="45" s="1"/>
  <c r="T68" i="45"/>
  <c r="T57" i="45"/>
  <c r="U61" i="45"/>
  <c r="V61" i="45" s="1"/>
  <c r="T13" i="45"/>
  <c r="T38" i="45"/>
  <c r="T46" i="45"/>
  <c r="S59" i="45"/>
  <c r="X59" i="45" s="1"/>
  <c r="Y59" i="45" s="1"/>
  <c r="S25" i="45"/>
  <c r="X25" i="45" s="1"/>
  <c r="Y25" i="45" s="1"/>
  <c r="T27" i="45"/>
  <c r="T70" i="45"/>
  <c r="U73" i="45"/>
  <c r="V73" i="45" s="1"/>
  <c r="T73" i="45"/>
  <c r="U70" i="45"/>
  <c r="V70" i="45" s="1"/>
  <c r="T83" i="45"/>
  <c r="T34" i="45"/>
  <c r="S13" i="45"/>
  <c r="X13" i="45" s="1"/>
  <c r="Y13" i="45" s="1"/>
  <c r="T82" i="45"/>
  <c r="T21" i="45"/>
  <c r="U56" i="45"/>
  <c r="V56" i="45" s="1"/>
  <c r="S9" i="45"/>
  <c r="X9" i="45" s="1"/>
  <c r="Y9" i="45" s="1"/>
  <c r="S26" i="45"/>
  <c r="X26" i="45" s="1"/>
  <c r="Y26" i="45" s="1"/>
  <c r="T15" i="45"/>
  <c r="T9" i="45"/>
  <c r="U47" i="45"/>
  <c r="V47" i="45" s="1"/>
  <c r="U83" i="45"/>
  <c r="V83" i="45" s="1"/>
  <c r="T47" i="45"/>
  <c r="U14" i="45"/>
  <c r="V14" i="45" s="1"/>
  <c r="S17" i="45"/>
  <c r="X17" i="45" s="1"/>
  <c r="Y17" i="45" s="1"/>
  <c r="T24" i="45"/>
  <c r="S79" i="45"/>
  <c r="X79" i="45" s="1"/>
  <c r="Y79" i="45" s="1"/>
  <c r="S68" i="45"/>
  <c r="X68" i="45" s="1"/>
  <c r="Y68" i="45" s="1"/>
  <c r="S82" i="45"/>
  <c r="X82" i="45" s="1"/>
  <c r="Y82" i="45" s="1"/>
  <c r="U34" i="45"/>
  <c r="V34" i="45" s="1"/>
  <c r="T17" i="45"/>
  <c r="T30" i="45"/>
  <c r="T14" i="45"/>
  <c r="T62" i="45"/>
  <c r="U24" i="45"/>
  <c r="V24" i="45" s="1"/>
  <c r="U10" i="45"/>
  <c r="V10" i="45" s="1"/>
  <c r="S63" i="45"/>
  <c r="X63" i="45" s="1"/>
  <c r="Y63" i="45" s="1"/>
  <c r="U46" i="45"/>
  <c r="V46" i="45" s="1"/>
  <c r="U44" i="45"/>
  <c r="V44" i="45" s="1"/>
  <c r="T56" i="45"/>
  <c r="U65" i="45"/>
  <c r="V65" i="45" s="1"/>
  <c r="T65" i="45"/>
  <c r="T81" i="45"/>
  <c r="T40" i="45"/>
  <c r="T39" i="45"/>
  <c r="T49" i="45"/>
  <c r="T10" i="45"/>
  <c r="U75" i="45"/>
  <c r="V75" i="45" s="1"/>
  <c r="T75" i="45"/>
  <c r="U49" i="45"/>
  <c r="V49" i="45" s="1"/>
  <c r="U72" i="45"/>
  <c r="V72" i="45" s="1"/>
  <c r="U60" i="45"/>
  <c r="V60" i="45" s="1"/>
  <c r="T60" i="45"/>
  <c r="T53" i="45"/>
  <c r="T31" i="45"/>
  <c r="S31" i="45"/>
  <c r="X31" i="45" s="1"/>
  <c r="Y31" i="45" s="1"/>
  <c r="U53" i="45"/>
  <c r="V53" i="45" s="1"/>
  <c r="R88" i="45"/>
  <c r="P66" i="46"/>
  <c r="S66" i="46"/>
  <c r="T66" i="46" s="1"/>
  <c r="S48" i="46"/>
  <c r="T48" i="46" s="1"/>
  <c r="P48" i="46"/>
  <c r="S8" i="46"/>
  <c r="T8" i="46" s="1"/>
  <c r="W8" i="46" s="1"/>
  <c r="P8" i="46"/>
  <c r="P17" i="46"/>
  <c r="S17" i="46"/>
  <c r="T17" i="46" s="1"/>
  <c r="S16" i="46"/>
  <c r="T16" i="46" s="1"/>
  <c r="P16" i="46"/>
  <c r="S32" i="46"/>
  <c r="T32" i="46" s="1"/>
  <c r="P32" i="46"/>
  <c r="S44" i="46"/>
  <c r="T44" i="46" s="1"/>
  <c r="P44" i="46"/>
  <c r="S28" i="46"/>
  <c r="T28" i="46" s="1"/>
  <c r="P28" i="46"/>
  <c r="S62" i="46"/>
  <c r="T62" i="46" s="1"/>
  <c r="P62" i="46"/>
  <c r="S82" i="46"/>
  <c r="T82" i="46" s="1"/>
  <c r="P82" i="46"/>
  <c r="S36" i="46"/>
  <c r="T36" i="46" s="1"/>
  <c r="P36" i="46"/>
  <c r="P34" i="46"/>
  <c r="S34" i="46"/>
  <c r="T34" i="46" s="1"/>
  <c r="S25" i="46"/>
  <c r="T25" i="46" s="1"/>
  <c r="P25" i="46"/>
  <c r="P46" i="46"/>
  <c r="S46" i="46"/>
  <c r="T46" i="46" s="1"/>
  <c r="S79" i="46"/>
  <c r="T79" i="46" s="1"/>
  <c r="P79" i="46"/>
  <c r="S51" i="46"/>
  <c r="T51" i="46" s="1"/>
  <c r="P51" i="46"/>
  <c r="P75" i="46"/>
  <c r="S75" i="46"/>
  <c r="T75" i="46" s="1"/>
  <c r="S45" i="46"/>
  <c r="T45" i="46" s="1"/>
  <c r="P45" i="46"/>
  <c r="P9" i="46"/>
  <c r="S9" i="46"/>
  <c r="T9" i="46" s="1"/>
  <c r="S22" i="46"/>
  <c r="T22" i="46" s="1"/>
  <c r="P22" i="46"/>
  <c r="S38" i="46"/>
  <c r="T38" i="46" s="1"/>
  <c r="P38" i="46"/>
  <c r="S73" i="46"/>
  <c r="T73" i="46" s="1"/>
  <c r="P73" i="46"/>
  <c r="S52" i="46"/>
  <c r="T52" i="46" s="1"/>
  <c r="P52" i="46"/>
  <c r="P71" i="46"/>
  <c r="S71" i="46"/>
  <c r="T71" i="46" s="1"/>
  <c r="S31" i="46"/>
  <c r="T31" i="46" s="1"/>
  <c r="P31" i="46"/>
  <c r="P69" i="46"/>
  <c r="S69" i="46"/>
  <c r="T69" i="46" s="1"/>
  <c r="S35" i="46"/>
  <c r="T35" i="46" s="1"/>
  <c r="P35" i="46"/>
  <c r="P61" i="46"/>
  <c r="S61" i="46"/>
  <c r="T61" i="46" s="1"/>
  <c r="S67" i="46"/>
  <c r="T67" i="46" s="1"/>
  <c r="P67" i="46"/>
  <c r="S14" i="46"/>
  <c r="T14" i="46" s="1"/>
  <c r="P14" i="46"/>
  <c r="S19" i="46"/>
  <c r="T19" i="46" s="1"/>
  <c r="P19" i="46"/>
  <c r="S64" i="46"/>
  <c r="T64" i="46" s="1"/>
  <c r="P64" i="46"/>
  <c r="S26" i="46"/>
  <c r="T26" i="46" s="1"/>
  <c r="P26" i="46"/>
  <c r="S10" i="46"/>
  <c r="T10" i="46" s="1"/>
  <c r="P10" i="46"/>
  <c r="S41" i="46"/>
  <c r="T41" i="46" s="1"/>
  <c r="P41" i="46"/>
  <c r="S72" i="46"/>
  <c r="T72" i="46" s="1"/>
  <c r="P72" i="46"/>
  <c r="P78" i="46"/>
  <c r="S78" i="46"/>
  <c r="T78" i="46" s="1"/>
  <c r="S21" i="46"/>
  <c r="T21" i="46" s="1"/>
  <c r="P21" i="46"/>
  <c r="P83" i="46"/>
  <c r="S83" i="46"/>
  <c r="T83" i="46" s="1"/>
  <c r="S81" i="46"/>
  <c r="T81" i="46" s="1"/>
  <c r="P81" i="46"/>
  <c r="S63" i="46"/>
  <c r="T63" i="46" s="1"/>
  <c r="P63" i="46"/>
  <c r="S86" i="46"/>
  <c r="T86" i="46" s="1"/>
  <c r="P86" i="46"/>
  <c r="P40" i="46"/>
  <c r="S40" i="46"/>
  <c r="T40" i="46" s="1"/>
  <c r="S57" i="46"/>
  <c r="T57" i="46" s="1"/>
  <c r="P57" i="46"/>
  <c r="P24" i="46"/>
  <c r="S24" i="46"/>
  <c r="T24" i="46" s="1"/>
  <c r="P58" i="46"/>
  <c r="S58" i="46"/>
  <c r="T58" i="46" s="1"/>
  <c r="S20" i="46"/>
  <c r="T20" i="46" s="1"/>
  <c r="P20" i="46"/>
  <c r="S85" i="46"/>
  <c r="T85" i="46" s="1"/>
  <c r="P85" i="46"/>
  <c r="S12" i="46"/>
  <c r="T12" i="46" s="1"/>
  <c r="P12" i="46"/>
  <c r="P39" i="46"/>
  <c r="S39" i="46"/>
  <c r="T39" i="46" s="1"/>
  <c r="S33" i="46"/>
  <c r="T33" i="46" s="1"/>
  <c r="P33" i="46"/>
  <c r="P7" i="46"/>
  <c r="N88" i="46"/>
  <c r="N89" i="46" s="1"/>
  <c r="P87" i="46"/>
  <c r="S87" i="46"/>
  <c r="T87" i="46" s="1"/>
  <c r="P13" i="46"/>
  <c r="S74" i="46"/>
  <c r="T74" i="46" s="1"/>
  <c r="P74" i="46"/>
  <c r="P84" i="46"/>
  <c r="S84" i="46"/>
  <c r="T84" i="46" s="1"/>
  <c r="S47" i="46"/>
  <c r="T47" i="46" s="1"/>
  <c r="P47" i="46"/>
  <c r="P15" i="46"/>
  <c r="S15" i="46"/>
  <c r="T15" i="46" s="1"/>
  <c r="P23" i="46"/>
  <c r="S23" i="46"/>
  <c r="T23" i="46" s="1"/>
  <c r="S11" i="46"/>
  <c r="T11" i="46" s="1"/>
  <c r="P11" i="46"/>
  <c r="P56" i="46"/>
  <c r="S56" i="46"/>
  <c r="T56" i="46" s="1"/>
  <c r="P54" i="46"/>
  <c r="S54" i="46"/>
  <c r="T54" i="46" s="1"/>
  <c r="S53" i="46"/>
  <c r="T53" i="46" s="1"/>
  <c r="P53" i="46"/>
  <c r="S50" i="46"/>
  <c r="T50" i="46" s="1"/>
  <c r="P50" i="46"/>
  <c r="P68" i="46"/>
  <c r="S68" i="46"/>
  <c r="T68" i="46" s="1"/>
  <c r="S77" i="46"/>
  <c r="T77" i="46" s="1"/>
  <c r="P77" i="46"/>
  <c r="S43" i="46"/>
  <c r="T43" i="46" s="1"/>
  <c r="P43" i="46"/>
  <c r="S70" i="46"/>
  <c r="T70" i="46" s="1"/>
  <c r="P70" i="46"/>
  <c r="P49" i="46"/>
  <c r="S49" i="46"/>
  <c r="T49" i="46" s="1"/>
  <c r="P42" i="46"/>
  <c r="S42" i="46"/>
  <c r="T42" i="46" s="1"/>
  <c r="S18" i="46"/>
  <c r="T18" i="46" s="1"/>
  <c r="P18" i="46"/>
  <c r="S30" i="46"/>
  <c r="T30" i="46" s="1"/>
  <c r="P30" i="46"/>
  <c r="P37" i="46"/>
  <c r="S37" i="46"/>
  <c r="T37" i="46" s="1"/>
  <c r="S59" i="46"/>
  <c r="T59" i="46" s="1"/>
  <c r="P59" i="46"/>
  <c r="P29" i="46"/>
  <c r="S29" i="46"/>
  <c r="T29" i="46" s="1"/>
  <c r="S80" i="46"/>
  <c r="T80" i="46" s="1"/>
  <c r="P80" i="46"/>
  <c r="P76" i="46"/>
  <c r="S76" i="46"/>
  <c r="T76" i="46" s="1"/>
  <c r="P27" i="46"/>
  <c r="S27" i="46"/>
  <c r="T27" i="46" s="1"/>
  <c r="S65" i="46"/>
  <c r="T65" i="46" s="1"/>
  <c r="P65" i="46"/>
  <c r="S60" i="46"/>
  <c r="T60" i="46" s="1"/>
  <c r="P60" i="46"/>
  <c r="S55" i="46"/>
  <c r="T55" i="46" s="1"/>
  <c r="P55" i="46"/>
  <c r="M88" i="37"/>
  <c r="N7" i="37"/>
  <c r="I19" i="28"/>
  <c r="J19" i="28" s="1"/>
  <c r="I58" i="28"/>
  <c r="Q58" i="28" s="1"/>
  <c r="S58" i="28" s="1"/>
  <c r="I43" i="28"/>
  <c r="J43" i="28" s="1"/>
  <c r="I82" i="28"/>
  <c r="J82" i="28" s="1"/>
  <c r="I77" i="28"/>
  <c r="Q77" i="28" s="1"/>
  <c r="S77" i="28" s="1"/>
  <c r="I38" i="28"/>
  <c r="Q38" i="28" s="1"/>
  <c r="S38" i="28" s="1"/>
  <c r="I33" i="28"/>
  <c r="J33" i="28" s="1"/>
  <c r="I37" i="28"/>
  <c r="Q37" i="28" s="1"/>
  <c r="S37" i="28" s="1"/>
  <c r="I81" i="28"/>
  <c r="Q81" i="28" s="1"/>
  <c r="S81" i="28" s="1"/>
  <c r="I11" i="28"/>
  <c r="J11" i="28" s="1"/>
  <c r="I36" i="28"/>
  <c r="J36" i="28" s="1"/>
  <c r="I16" i="28"/>
  <c r="J16" i="28" s="1"/>
  <c r="I22" i="28"/>
  <c r="J22" i="28" s="1"/>
  <c r="I24" i="28"/>
  <c r="J24" i="28" s="1"/>
  <c r="I32" i="28"/>
  <c r="J32" i="28" s="1"/>
  <c r="I26" i="28"/>
  <c r="J26" i="28" s="1"/>
  <c r="I67" i="28"/>
  <c r="J67" i="28" s="1"/>
  <c r="I61" i="28"/>
  <c r="J61" i="28" s="1"/>
  <c r="I70" i="28"/>
  <c r="Q70" i="28" s="1"/>
  <c r="S70" i="28" s="1"/>
  <c r="I62" i="28"/>
  <c r="Q62" i="28" s="1"/>
  <c r="S62" i="28" s="1"/>
  <c r="I52" i="28"/>
  <c r="J52" i="28" s="1"/>
  <c r="I25" i="28"/>
  <c r="J25" i="28" s="1"/>
  <c r="I64" i="28"/>
  <c r="J64" i="28" s="1"/>
  <c r="I79" i="28"/>
  <c r="J79" i="28" s="1"/>
  <c r="I78" i="28"/>
  <c r="Q78" i="28" s="1"/>
  <c r="S78" i="28" s="1"/>
  <c r="I73" i="28"/>
  <c r="J73" i="28" s="1"/>
  <c r="I47" i="28"/>
  <c r="J47" i="28" s="1"/>
  <c r="I30" i="28"/>
  <c r="J30" i="28" s="1"/>
  <c r="I71" i="28"/>
  <c r="Q71" i="28" s="1"/>
  <c r="S71" i="28" s="1"/>
  <c r="I69" i="28"/>
  <c r="J69" i="28" s="1"/>
  <c r="I55" i="28"/>
  <c r="J55" i="28" s="1"/>
  <c r="I87" i="28"/>
  <c r="Q87" i="28" s="1"/>
  <c r="S87" i="28" s="1"/>
  <c r="I8" i="28"/>
  <c r="J8" i="28" s="1"/>
  <c r="I46" i="28"/>
  <c r="Q46" i="28" s="1"/>
  <c r="S46" i="28" s="1"/>
  <c r="I28" i="28"/>
  <c r="J28" i="28" s="1"/>
  <c r="I9" i="28"/>
  <c r="J9" i="28" s="1"/>
  <c r="I56" i="28"/>
  <c r="Q56" i="28" s="1"/>
  <c r="S56" i="28" s="1"/>
  <c r="I29" i="28"/>
  <c r="J29" i="28" s="1"/>
  <c r="I80" i="28"/>
  <c r="J80" i="28" s="1"/>
  <c r="I13" i="28"/>
  <c r="J13" i="28" s="1"/>
  <c r="I53" i="28"/>
  <c r="J53" i="28" s="1"/>
  <c r="I76" i="28"/>
  <c r="J76" i="28" s="1"/>
  <c r="I51" i="28"/>
  <c r="J51" i="28" s="1"/>
  <c r="I54" i="28"/>
  <c r="J54" i="28" s="1"/>
  <c r="I68" i="28"/>
  <c r="Q68" i="28" s="1"/>
  <c r="S68" i="28" s="1"/>
  <c r="I44" i="28"/>
  <c r="Q44" i="28" s="1"/>
  <c r="S44" i="28" s="1"/>
  <c r="I17" i="28"/>
  <c r="J17" i="28" s="1"/>
  <c r="I40" i="28"/>
  <c r="Q40" i="28" s="1"/>
  <c r="S40" i="28" s="1"/>
  <c r="I42" i="28"/>
  <c r="J42" i="28" s="1"/>
  <c r="I49" i="28"/>
  <c r="Q49" i="28" s="1"/>
  <c r="S49" i="28" s="1"/>
  <c r="I45" i="28"/>
  <c r="J45" i="28" s="1"/>
  <c r="I27" i="28"/>
  <c r="Q27" i="28" s="1"/>
  <c r="S27" i="28" s="1"/>
  <c r="I34" i="28"/>
  <c r="Q34" i="28" s="1"/>
  <c r="S34" i="28" s="1"/>
  <c r="I23" i="28"/>
  <c r="J23" i="28" s="1"/>
  <c r="I59" i="28"/>
  <c r="Q59" i="28" s="1"/>
  <c r="S59" i="28" s="1"/>
  <c r="I14" i="28"/>
  <c r="J14" i="28" s="1"/>
  <c r="I57" i="28"/>
  <c r="J57" i="28" s="1"/>
  <c r="I21" i="28"/>
  <c r="J21" i="28" s="1"/>
  <c r="I60" i="28"/>
  <c r="J60" i="28" s="1"/>
  <c r="I31" i="28"/>
  <c r="Q31" i="28" s="1"/>
  <c r="S31" i="28" s="1"/>
  <c r="I35" i="28"/>
  <c r="Q35" i="28" s="1"/>
  <c r="S35" i="28" s="1"/>
  <c r="I85" i="28"/>
  <c r="Q85" i="28" s="1"/>
  <c r="S85" i="28" s="1"/>
  <c r="I86" i="28"/>
  <c r="J86" i="28" s="1"/>
  <c r="I72" i="28"/>
  <c r="J72" i="28" s="1"/>
  <c r="I12" i="28"/>
  <c r="Q12" i="28" s="1"/>
  <c r="S12" i="28" s="1"/>
  <c r="I63" i="28"/>
  <c r="Q63" i="28" s="1"/>
  <c r="S63" i="28" s="1"/>
  <c r="I10" i="28"/>
  <c r="J10" i="28" s="1"/>
  <c r="I74" i="28"/>
  <c r="J74" i="28" s="1"/>
  <c r="I18" i="28"/>
  <c r="J18" i="28" s="1"/>
  <c r="I66" i="28"/>
  <c r="J66" i="28" s="1"/>
  <c r="I50" i="28"/>
  <c r="J50" i="28" s="1"/>
  <c r="I39" i="28"/>
  <c r="Q39" i="28" s="1"/>
  <c r="S39" i="28" s="1"/>
  <c r="I83" i="28"/>
  <c r="J83" i="28" s="1"/>
  <c r="I15" i="28"/>
  <c r="J15" i="28" s="1"/>
  <c r="I75" i="28"/>
  <c r="Q75" i="28" s="1"/>
  <c r="S75" i="28" s="1"/>
  <c r="S63" i="33"/>
  <c r="Z63" i="33"/>
  <c r="AB63" i="33" s="1"/>
  <c r="AC63" i="33" s="1"/>
  <c r="S42" i="33"/>
  <c r="Z42" i="33"/>
  <c r="AB42" i="33" s="1"/>
  <c r="AC42" i="33" s="1"/>
  <c r="S86" i="33"/>
  <c r="Z86" i="33"/>
  <c r="AB86" i="33" s="1"/>
  <c r="AC86" i="33" s="1"/>
  <c r="S43" i="33"/>
  <c r="Z43" i="33"/>
  <c r="AB43" i="33" s="1"/>
  <c r="AC43" i="33" s="1"/>
  <c r="S45" i="33"/>
  <c r="Z45" i="33"/>
  <c r="AB45" i="33" s="1"/>
  <c r="AC45" i="33" s="1"/>
  <c r="S70" i="33"/>
  <c r="Z70" i="33"/>
  <c r="AB70" i="33" s="1"/>
  <c r="AC70" i="33" s="1"/>
  <c r="S17" i="33"/>
  <c r="Z17" i="33"/>
  <c r="AB17" i="33" s="1"/>
  <c r="AC17" i="33" s="1"/>
  <c r="S39" i="33"/>
  <c r="Z39" i="33"/>
  <c r="AB39" i="33" s="1"/>
  <c r="AC39" i="33" s="1"/>
  <c r="S27" i="33"/>
  <c r="Z27" i="33"/>
  <c r="AB27" i="33" s="1"/>
  <c r="AC27" i="33" s="1"/>
  <c r="S54" i="33"/>
  <c r="Z54" i="33"/>
  <c r="AB54" i="33" s="1"/>
  <c r="AC54" i="33" s="1"/>
  <c r="S68" i="33"/>
  <c r="Z68" i="33"/>
  <c r="AB68" i="33" s="1"/>
  <c r="AC68" i="33" s="1"/>
  <c r="S85" i="33"/>
  <c r="Z85" i="33"/>
  <c r="AB85" i="33" s="1"/>
  <c r="AC85" i="33" s="1"/>
  <c r="S50" i="33"/>
  <c r="Z50" i="33"/>
  <c r="AB50" i="33" s="1"/>
  <c r="AC50" i="33" s="1"/>
  <c r="S38" i="33"/>
  <c r="Z38" i="33"/>
  <c r="AB38" i="33" s="1"/>
  <c r="AC38" i="33" s="1"/>
  <c r="S80" i="33"/>
  <c r="Z80" i="33"/>
  <c r="AB80" i="33" s="1"/>
  <c r="AC80" i="33" s="1"/>
  <c r="S60" i="33"/>
  <c r="Z60" i="33"/>
  <c r="AB60" i="33" s="1"/>
  <c r="AC60" i="33" s="1"/>
  <c r="S41" i="33"/>
  <c r="Z41" i="33"/>
  <c r="AB41" i="33" s="1"/>
  <c r="AC41" i="33" s="1"/>
  <c r="S58" i="33"/>
  <c r="Z58" i="33"/>
  <c r="AB58" i="33" s="1"/>
  <c r="AC58" i="33" s="1"/>
  <c r="S69" i="33"/>
  <c r="Z69" i="33"/>
  <c r="AB69" i="33" s="1"/>
  <c r="AC69" i="33" s="1"/>
  <c r="S62" i="33"/>
  <c r="Z62" i="33"/>
  <c r="AB62" i="33" s="1"/>
  <c r="AC62" i="33" s="1"/>
  <c r="S36" i="33"/>
  <c r="Z36" i="33"/>
  <c r="AB36" i="33" s="1"/>
  <c r="AC36" i="33" s="1"/>
  <c r="S44" i="33"/>
  <c r="Z44" i="33"/>
  <c r="AB44" i="33" s="1"/>
  <c r="AC44" i="33" s="1"/>
  <c r="S24" i="33"/>
  <c r="Z24" i="33"/>
  <c r="AB24" i="33" s="1"/>
  <c r="AC24" i="33" s="1"/>
  <c r="S64" i="33"/>
  <c r="Z64" i="33"/>
  <c r="AB64" i="33" s="1"/>
  <c r="AC64" i="33" s="1"/>
  <c r="S49" i="33"/>
  <c r="Z49" i="33"/>
  <c r="AB49" i="33" s="1"/>
  <c r="AC49" i="33" s="1"/>
  <c r="S72" i="33"/>
  <c r="Z72" i="33"/>
  <c r="AB72" i="33" s="1"/>
  <c r="AC72" i="33" s="1"/>
  <c r="S65" i="33"/>
  <c r="Z65" i="33"/>
  <c r="AB65" i="33" s="1"/>
  <c r="AC65" i="33" s="1"/>
  <c r="S56" i="33"/>
  <c r="Z56" i="33"/>
  <c r="AB56" i="33" s="1"/>
  <c r="AC56" i="33" s="1"/>
  <c r="S31" i="33"/>
  <c r="Z31" i="33"/>
  <c r="AB31" i="33" s="1"/>
  <c r="AC31" i="33" s="1"/>
  <c r="S18" i="33"/>
  <c r="Z18" i="33"/>
  <c r="AB18" i="33" s="1"/>
  <c r="AC18" i="33" s="1"/>
  <c r="S25" i="33"/>
  <c r="Z25" i="33"/>
  <c r="AB25" i="33" s="1"/>
  <c r="AC25" i="33" s="1"/>
  <c r="S8" i="33"/>
  <c r="Z8" i="33"/>
  <c r="AB8" i="33" s="1"/>
  <c r="AC8" i="33" s="1"/>
  <c r="S74" i="33"/>
  <c r="Z74" i="33"/>
  <c r="AB74" i="33" s="1"/>
  <c r="AC74" i="33" s="1"/>
  <c r="S34" i="33"/>
  <c r="Z34" i="33"/>
  <c r="AB34" i="33" s="1"/>
  <c r="AC34" i="33" s="1"/>
  <c r="S73" i="33"/>
  <c r="Z73" i="33"/>
  <c r="AB73" i="33" s="1"/>
  <c r="AC73" i="33" s="1"/>
  <c r="S51" i="33"/>
  <c r="Z51" i="33"/>
  <c r="AB51" i="33" s="1"/>
  <c r="AC51" i="33" s="1"/>
  <c r="S55" i="33"/>
  <c r="Z55" i="33"/>
  <c r="AB55" i="33" s="1"/>
  <c r="AC55" i="33" s="1"/>
  <c r="S48" i="33"/>
  <c r="Z48" i="33"/>
  <c r="AB48" i="33" s="1"/>
  <c r="AC48" i="33" s="1"/>
  <c r="S13" i="33"/>
  <c r="Z13" i="33"/>
  <c r="AB13" i="33" s="1"/>
  <c r="AC13" i="33" s="1"/>
  <c r="S33" i="33"/>
  <c r="Z33" i="33"/>
  <c r="AB33" i="33" s="1"/>
  <c r="AC33" i="33" s="1"/>
  <c r="S75" i="33"/>
  <c r="Z75" i="33"/>
  <c r="AB75" i="33" s="1"/>
  <c r="AC75" i="33" s="1"/>
  <c r="S77" i="33"/>
  <c r="Z77" i="33"/>
  <c r="AB77" i="33" s="1"/>
  <c r="AC77" i="33" s="1"/>
  <c r="S28" i="33"/>
  <c r="Z28" i="33"/>
  <c r="AB28" i="33" s="1"/>
  <c r="AC28" i="33" s="1"/>
  <c r="S46" i="33"/>
  <c r="Z46" i="33"/>
  <c r="AB46" i="33" s="1"/>
  <c r="AC46" i="33" s="1"/>
  <c r="S84" i="33"/>
  <c r="Z84" i="33"/>
  <c r="AB84" i="33" s="1"/>
  <c r="AC84" i="33" s="1"/>
  <c r="S71" i="33"/>
  <c r="Z71" i="33"/>
  <c r="AB71" i="33" s="1"/>
  <c r="AC71" i="33" s="1"/>
  <c r="S26" i="33"/>
  <c r="Z26" i="33"/>
  <c r="AB26" i="33" s="1"/>
  <c r="AC26" i="33" s="1"/>
  <c r="S66" i="33"/>
  <c r="Z66" i="33"/>
  <c r="AB66" i="33" s="1"/>
  <c r="AC66" i="33" s="1"/>
  <c r="S40" i="33"/>
  <c r="Z40" i="33"/>
  <c r="AB40" i="33" s="1"/>
  <c r="AC40" i="33" s="1"/>
  <c r="S19" i="33"/>
  <c r="Z19" i="33"/>
  <c r="AB19" i="33" s="1"/>
  <c r="AC19" i="33" s="1"/>
  <c r="R83" i="33"/>
  <c r="R59" i="33"/>
  <c r="R22" i="33"/>
  <c r="J52" i="33"/>
  <c r="J23" i="33"/>
  <c r="J29" i="33"/>
  <c r="J11" i="33"/>
  <c r="J21" i="33"/>
  <c r="J82" i="33"/>
  <c r="J10" i="33"/>
  <c r="R14" i="33"/>
  <c r="J30" i="33"/>
  <c r="R37" i="33"/>
  <c r="R32" i="33"/>
  <c r="R53" i="33"/>
  <c r="J81" i="33"/>
  <c r="J83" i="33"/>
  <c r="R61" i="33"/>
  <c r="R67" i="33"/>
  <c r="J57" i="33"/>
  <c r="J20" i="33"/>
  <c r="J79" i="33"/>
  <c r="J35" i="33"/>
  <c r="J87" i="33"/>
  <c r="R47" i="33"/>
  <c r="R16" i="33"/>
  <c r="R76" i="33"/>
  <c r="R78" i="33"/>
  <c r="R15" i="33"/>
  <c r="R12" i="33"/>
  <c r="R9" i="33"/>
  <c r="J16" i="33"/>
  <c r="J9" i="33"/>
  <c r="I20" i="28"/>
  <c r="J20" i="28" s="1"/>
  <c r="I41" i="28"/>
  <c r="J41" i="28" s="1"/>
  <c r="I84" i="28"/>
  <c r="J84" i="28" s="1"/>
  <c r="I65" i="28"/>
  <c r="Q65" i="28" s="1"/>
  <c r="S65" i="28" s="1"/>
  <c r="H88" i="28"/>
  <c r="K88" i="28" s="1"/>
  <c r="J12" i="33"/>
  <c r="I7" i="28"/>
  <c r="I48" i="28"/>
  <c r="J48" i="28" s="1"/>
  <c r="J47" i="33"/>
  <c r="R21" i="33"/>
  <c r="R23" i="33"/>
  <c r="R81" i="33"/>
  <c r="R11" i="33"/>
  <c r="R29" i="33"/>
  <c r="R52" i="33"/>
  <c r="J15" i="33"/>
  <c r="J67" i="33"/>
  <c r="R20" i="33"/>
  <c r="J22" i="33"/>
  <c r="R57" i="33"/>
  <c r="J32" i="33"/>
  <c r="R82" i="33"/>
  <c r="J37" i="33"/>
  <c r="J78" i="33"/>
  <c r="R79" i="33"/>
  <c r="J76" i="33"/>
  <c r="R87" i="33"/>
  <c r="R35" i="33"/>
  <c r="J61" i="33"/>
  <c r="R30" i="33"/>
  <c r="J53" i="33"/>
  <c r="J59" i="33"/>
  <c r="I88" i="33"/>
  <c r="R10" i="33"/>
  <c r="Q88" i="33"/>
  <c r="J14" i="33"/>
  <c r="O20" i="37"/>
  <c r="R20" i="37" s="1"/>
  <c r="S8" i="37"/>
  <c r="O57" i="37"/>
  <c r="R57" i="37" s="1"/>
  <c r="O60" i="37"/>
  <c r="S7" i="33"/>
  <c r="R88" i="33" l="1"/>
  <c r="R6" i="33" s="1"/>
  <c r="Z7" i="33"/>
  <c r="AB7" i="33" s="1"/>
  <c r="AC7" i="33" s="1"/>
  <c r="AF7" i="33" s="1"/>
  <c r="AG7" i="33" s="1"/>
  <c r="AB7" i="45"/>
  <c r="AC7" i="45" s="1"/>
  <c r="T7" i="46"/>
  <c r="W7" i="46" s="1"/>
  <c r="X7" i="46" s="1"/>
  <c r="S88" i="46"/>
  <c r="N88" i="37"/>
  <c r="AA7" i="45"/>
  <c r="R89" i="45"/>
  <c r="M89" i="37"/>
  <c r="P88" i="37"/>
  <c r="S91" i="45"/>
  <c r="S88" i="45"/>
  <c r="X88" i="45" s="1"/>
  <c r="X89" i="45" s="1"/>
  <c r="U20" i="45"/>
  <c r="V20" i="45" s="1"/>
  <c r="V90" i="45" s="1"/>
  <c r="T20" i="45"/>
  <c r="AB20" i="45"/>
  <c r="AC20" i="45" s="1"/>
  <c r="AA20" i="45"/>
  <c r="Z20" i="45"/>
  <c r="Z59" i="45"/>
  <c r="AB59" i="45"/>
  <c r="AC59" i="45" s="1"/>
  <c r="AA59" i="45"/>
  <c r="Z79" i="45"/>
  <c r="AB79" i="45"/>
  <c r="AC79" i="45" s="1"/>
  <c r="AA79" i="45"/>
  <c r="Z8" i="45"/>
  <c r="AB8" i="45"/>
  <c r="AC8" i="45" s="1"/>
  <c r="AA8" i="45"/>
  <c r="Z33" i="45"/>
  <c r="AA33" i="45"/>
  <c r="AB33" i="45"/>
  <c r="AC33" i="45" s="1"/>
  <c r="Z86" i="45"/>
  <c r="AB86" i="45"/>
  <c r="AC86" i="45" s="1"/>
  <c r="AA86" i="45"/>
  <c r="Z31" i="45"/>
  <c r="AB31" i="45"/>
  <c r="AC31" i="45" s="1"/>
  <c r="AA31" i="45"/>
  <c r="Z17" i="45"/>
  <c r="AA17" i="45"/>
  <c r="AB17" i="45"/>
  <c r="AC17" i="45" s="1"/>
  <c r="Z9" i="45"/>
  <c r="AA9" i="45"/>
  <c r="AB9" i="45"/>
  <c r="AC9" i="45" s="1"/>
  <c r="Z58" i="45"/>
  <c r="AA58" i="45"/>
  <c r="AB58" i="45"/>
  <c r="AC58" i="45" s="1"/>
  <c r="Z11" i="45"/>
  <c r="AA11" i="45"/>
  <c r="AB11" i="45"/>
  <c r="AC11" i="45" s="1"/>
  <c r="Z41" i="45"/>
  <c r="AA41" i="45"/>
  <c r="AB41" i="45"/>
  <c r="AC41" i="45" s="1"/>
  <c r="Z48" i="45"/>
  <c r="AB48" i="45"/>
  <c r="AC48" i="45" s="1"/>
  <c r="AA48" i="45"/>
  <c r="Z50" i="45"/>
  <c r="AA50" i="45"/>
  <c r="AB50" i="45"/>
  <c r="AC50" i="45" s="1"/>
  <c r="Z29" i="45"/>
  <c r="AB29" i="45"/>
  <c r="AC29" i="45" s="1"/>
  <c r="AA29" i="45"/>
  <c r="Z67" i="45"/>
  <c r="AA67" i="45"/>
  <c r="AB67" i="45"/>
  <c r="AC67" i="45" s="1"/>
  <c r="Z85" i="45"/>
  <c r="AB85" i="45"/>
  <c r="AC85" i="45" s="1"/>
  <c r="AA85" i="45"/>
  <c r="Z26" i="45"/>
  <c r="AA26" i="45"/>
  <c r="AB26" i="45"/>
  <c r="AC26" i="45" s="1"/>
  <c r="Z63" i="45"/>
  <c r="AB63" i="45"/>
  <c r="AC63" i="45" s="1"/>
  <c r="AA63" i="45"/>
  <c r="Z82" i="45"/>
  <c r="AA82" i="45"/>
  <c r="AB82" i="45"/>
  <c r="AC82" i="45" s="1"/>
  <c r="Z84" i="45"/>
  <c r="AB84" i="45"/>
  <c r="AC84" i="45" s="1"/>
  <c r="AA84" i="45"/>
  <c r="Z42" i="45"/>
  <c r="AA42" i="45"/>
  <c r="AB42" i="45"/>
  <c r="AC42" i="45" s="1"/>
  <c r="Y88" i="45"/>
  <c r="AA88" i="45" s="1"/>
  <c r="Z68" i="45"/>
  <c r="AB68" i="45"/>
  <c r="AC68" i="45" s="1"/>
  <c r="AA68" i="45"/>
  <c r="Z13" i="45"/>
  <c r="AB13" i="45"/>
  <c r="AC13" i="45" s="1"/>
  <c r="AA13" i="45"/>
  <c r="Z25" i="45"/>
  <c r="AA25" i="45"/>
  <c r="AB25" i="45"/>
  <c r="AC25" i="45" s="1"/>
  <c r="Z74" i="45"/>
  <c r="AA74" i="45"/>
  <c r="AB74" i="45"/>
  <c r="AC74" i="45" s="1"/>
  <c r="Z12" i="45"/>
  <c r="AB12" i="45"/>
  <c r="AC12" i="45" s="1"/>
  <c r="AA12" i="45"/>
  <c r="Z19" i="45"/>
  <c r="AB19" i="45"/>
  <c r="AC19" i="45" s="1"/>
  <c r="AA19" i="45"/>
  <c r="T88" i="33"/>
  <c r="Q89" i="33"/>
  <c r="J88" i="33"/>
  <c r="I89" i="33"/>
  <c r="X8" i="46"/>
  <c r="O7" i="37"/>
  <c r="O88" i="37" s="1"/>
  <c r="T7" i="45"/>
  <c r="T88" i="45"/>
  <c r="S89" i="46"/>
  <c r="P88" i="46"/>
  <c r="U67" i="46"/>
  <c r="V67" i="46"/>
  <c r="W67" i="46"/>
  <c r="W75" i="46"/>
  <c r="V75" i="46"/>
  <c r="U75" i="46"/>
  <c r="W28" i="46"/>
  <c r="V28" i="46"/>
  <c r="U28" i="46"/>
  <c r="V59" i="46"/>
  <c r="U59" i="46"/>
  <c r="W59" i="46"/>
  <c r="V18" i="46"/>
  <c r="U18" i="46"/>
  <c r="W18" i="46"/>
  <c r="W43" i="46"/>
  <c r="U43" i="46"/>
  <c r="V43" i="46"/>
  <c r="V84" i="46"/>
  <c r="U84" i="46"/>
  <c r="W84" i="46"/>
  <c r="W41" i="46"/>
  <c r="U41" i="46"/>
  <c r="V41" i="46"/>
  <c r="V61" i="46"/>
  <c r="W61" i="46"/>
  <c r="U61" i="46"/>
  <c r="V69" i="46"/>
  <c r="U69" i="46"/>
  <c r="W69" i="46"/>
  <c r="V9" i="46"/>
  <c r="U9" i="46"/>
  <c r="W9" i="46"/>
  <c r="V25" i="46"/>
  <c r="W25" i="46"/>
  <c r="U25" i="46"/>
  <c r="V62" i="46"/>
  <c r="W62" i="46"/>
  <c r="U62" i="46"/>
  <c r="U27" i="46"/>
  <c r="V27" i="46"/>
  <c r="W27" i="46"/>
  <c r="W47" i="46"/>
  <c r="V47" i="46"/>
  <c r="U47" i="46"/>
  <c r="W22" i="46"/>
  <c r="V22" i="46"/>
  <c r="U22" i="46"/>
  <c r="W76" i="46"/>
  <c r="V76" i="46"/>
  <c r="U76" i="46"/>
  <c r="U42" i="46"/>
  <c r="W42" i="46"/>
  <c r="V42" i="46"/>
  <c r="V53" i="46"/>
  <c r="W53" i="46"/>
  <c r="U53" i="46"/>
  <c r="W11" i="46"/>
  <c r="V11" i="46"/>
  <c r="U11" i="46"/>
  <c r="V85" i="46"/>
  <c r="U85" i="46"/>
  <c r="W85" i="46"/>
  <c r="U86" i="46"/>
  <c r="W86" i="46"/>
  <c r="V86" i="46"/>
  <c r="W21" i="46"/>
  <c r="U21" i="46"/>
  <c r="V21" i="46"/>
  <c r="U73" i="46"/>
  <c r="W73" i="46"/>
  <c r="V73" i="46"/>
  <c r="W34" i="46"/>
  <c r="V34" i="46"/>
  <c r="U34" i="46"/>
  <c r="U44" i="46"/>
  <c r="W44" i="46"/>
  <c r="V44" i="46"/>
  <c r="V8" i="46"/>
  <c r="U8" i="46"/>
  <c r="V12" i="46"/>
  <c r="U12" i="46"/>
  <c r="W12" i="46"/>
  <c r="U52" i="46"/>
  <c r="V52" i="46"/>
  <c r="W52" i="46"/>
  <c r="V55" i="46"/>
  <c r="W55" i="46"/>
  <c r="U55" i="46"/>
  <c r="W54" i="46"/>
  <c r="V54" i="46"/>
  <c r="U54" i="46"/>
  <c r="W23" i="46"/>
  <c r="U23" i="46"/>
  <c r="V23" i="46"/>
  <c r="W10" i="46"/>
  <c r="U10" i="46"/>
  <c r="V10" i="46"/>
  <c r="V51" i="46"/>
  <c r="W51" i="46"/>
  <c r="U51" i="46"/>
  <c r="U37" i="46"/>
  <c r="V37" i="46"/>
  <c r="W37" i="46"/>
  <c r="W49" i="46"/>
  <c r="V49" i="46"/>
  <c r="U49" i="46"/>
  <c r="V77" i="46"/>
  <c r="W77" i="46"/>
  <c r="U77" i="46"/>
  <c r="U74" i="46"/>
  <c r="W74" i="46"/>
  <c r="V74" i="46"/>
  <c r="W33" i="46"/>
  <c r="U33" i="46"/>
  <c r="V33" i="46"/>
  <c r="U20" i="46"/>
  <c r="W20" i="46"/>
  <c r="V20" i="46"/>
  <c r="W63" i="46"/>
  <c r="U63" i="46"/>
  <c r="V63" i="46"/>
  <c r="V78" i="46"/>
  <c r="W78" i="46"/>
  <c r="U78" i="46"/>
  <c r="W19" i="46"/>
  <c r="U19" i="46"/>
  <c r="V19" i="46"/>
  <c r="W35" i="46"/>
  <c r="U35" i="46"/>
  <c r="V35" i="46"/>
  <c r="W31" i="46"/>
  <c r="V31" i="46"/>
  <c r="U31" i="46"/>
  <c r="U45" i="46"/>
  <c r="V45" i="46"/>
  <c r="W45" i="46"/>
  <c r="U32" i="46"/>
  <c r="V32" i="46"/>
  <c r="W32" i="46"/>
  <c r="U48" i="46"/>
  <c r="V48" i="46"/>
  <c r="W48" i="46"/>
  <c r="W60" i="46"/>
  <c r="V60" i="46"/>
  <c r="U60" i="46"/>
  <c r="U80" i="46"/>
  <c r="W80" i="46"/>
  <c r="V80" i="46"/>
  <c r="U68" i="46"/>
  <c r="V68" i="46"/>
  <c r="W68" i="46"/>
  <c r="U56" i="46"/>
  <c r="W56" i="46"/>
  <c r="V56" i="46"/>
  <c r="W15" i="46"/>
  <c r="V15" i="46"/>
  <c r="U15" i="46"/>
  <c r="U39" i="46"/>
  <c r="V39" i="46"/>
  <c r="W39" i="46"/>
  <c r="W58" i="46"/>
  <c r="V58" i="46"/>
  <c r="U58" i="46"/>
  <c r="V26" i="46"/>
  <c r="W26" i="46"/>
  <c r="U26" i="46"/>
  <c r="V71" i="46"/>
  <c r="U71" i="46"/>
  <c r="W71" i="46"/>
  <c r="V79" i="46"/>
  <c r="U79" i="46"/>
  <c r="W79" i="46"/>
  <c r="V36" i="46"/>
  <c r="W36" i="46"/>
  <c r="U36" i="46"/>
  <c r="V66" i="46"/>
  <c r="U66" i="46"/>
  <c r="W66" i="46"/>
  <c r="V29" i="46"/>
  <c r="W29" i="46"/>
  <c r="U29" i="46"/>
  <c r="V13" i="46"/>
  <c r="U13" i="46"/>
  <c r="V57" i="46"/>
  <c r="U57" i="46"/>
  <c r="W57" i="46"/>
  <c r="V81" i="46"/>
  <c r="W81" i="46"/>
  <c r="U81" i="46"/>
  <c r="V14" i="46"/>
  <c r="U14" i="46"/>
  <c r="W14" i="46"/>
  <c r="W38" i="46"/>
  <c r="V38" i="46"/>
  <c r="U38" i="46"/>
  <c r="W46" i="46"/>
  <c r="V46" i="46"/>
  <c r="U46" i="46"/>
  <c r="U16" i="46"/>
  <c r="V16" i="46"/>
  <c r="W16" i="46"/>
  <c r="U50" i="46"/>
  <c r="W50" i="46"/>
  <c r="V50" i="46"/>
  <c r="W65" i="46"/>
  <c r="V65" i="46"/>
  <c r="U65" i="46"/>
  <c r="U30" i="46"/>
  <c r="V30" i="46"/>
  <c r="W30" i="46"/>
  <c r="U70" i="46"/>
  <c r="V70" i="46"/>
  <c r="W70" i="46"/>
  <c r="W87" i="46"/>
  <c r="U87" i="46"/>
  <c r="V87" i="46"/>
  <c r="U24" i="46"/>
  <c r="V24" i="46"/>
  <c r="W24" i="46"/>
  <c r="U40" i="46"/>
  <c r="V40" i="46"/>
  <c r="W40" i="46"/>
  <c r="W83" i="46"/>
  <c r="U83" i="46"/>
  <c r="V83" i="46"/>
  <c r="U72" i="46"/>
  <c r="V72" i="46"/>
  <c r="W72" i="46"/>
  <c r="U64" i="46"/>
  <c r="V64" i="46"/>
  <c r="W64" i="46"/>
  <c r="W82" i="46"/>
  <c r="V82" i="46"/>
  <c r="U82" i="46"/>
  <c r="W17" i="46"/>
  <c r="V17" i="46"/>
  <c r="U17" i="46"/>
  <c r="J62" i="28"/>
  <c r="Q36" i="28"/>
  <c r="S36" i="28" s="1"/>
  <c r="J70" i="28"/>
  <c r="Q19" i="28"/>
  <c r="S19" i="28" s="1"/>
  <c r="J38" i="28"/>
  <c r="J77" i="28"/>
  <c r="Q43" i="28"/>
  <c r="S43" i="28" s="1"/>
  <c r="Q82" i="28"/>
  <c r="S82" i="28" s="1"/>
  <c r="Q25" i="28"/>
  <c r="S25" i="28" s="1"/>
  <c r="Q16" i="28"/>
  <c r="S16" i="28" s="1"/>
  <c r="J58" i="28"/>
  <c r="J37" i="28"/>
  <c r="Q33" i="28"/>
  <c r="S33" i="28" s="1"/>
  <c r="J81" i="28"/>
  <c r="Q67" i="28"/>
  <c r="S67" i="28" s="1"/>
  <c r="Q61" i="28"/>
  <c r="S61" i="28" s="1"/>
  <c r="Q11" i="28"/>
  <c r="S11" i="28" s="1"/>
  <c r="Q52" i="28"/>
  <c r="S52" i="28" s="1"/>
  <c r="J34" i="28"/>
  <c r="Q32" i="28"/>
  <c r="S32" i="28" s="1"/>
  <c r="Q24" i="28"/>
  <c r="S24" i="28" s="1"/>
  <c r="Q22" i="28"/>
  <c r="S22" i="28" s="1"/>
  <c r="Q26" i="28"/>
  <c r="S26" i="28" s="1"/>
  <c r="Q64" i="28"/>
  <c r="S64" i="28" s="1"/>
  <c r="J78" i="28"/>
  <c r="J87" i="28"/>
  <c r="J40" i="28"/>
  <c r="Q73" i="28"/>
  <c r="S73" i="28" s="1"/>
  <c r="Q60" i="28"/>
  <c r="S60" i="28" s="1"/>
  <c r="Q45" i="28"/>
  <c r="S45" i="28" s="1"/>
  <c r="Q51" i="28"/>
  <c r="S51" i="28" s="1"/>
  <c r="Q30" i="28"/>
  <c r="S30" i="28" s="1"/>
  <c r="Q72" i="28"/>
  <c r="S72" i="28" s="1"/>
  <c r="Q14" i="28"/>
  <c r="S14" i="28" s="1"/>
  <c r="Q13" i="28"/>
  <c r="S13" i="28" s="1"/>
  <c r="J39" i="28"/>
  <c r="Q69" i="28"/>
  <c r="S69" i="28" s="1"/>
  <c r="Q79" i="28"/>
  <c r="S79" i="28" s="1"/>
  <c r="Q41" i="28"/>
  <c r="S41" i="28" s="1"/>
  <c r="Q55" i="28"/>
  <c r="S55" i="28" s="1"/>
  <c r="J59" i="28"/>
  <c r="J44" i="28"/>
  <c r="J56" i="28"/>
  <c r="Q86" i="28"/>
  <c r="S86" i="28" s="1"/>
  <c r="J71" i="28"/>
  <c r="Q9" i="28"/>
  <c r="S9" i="28" s="1"/>
  <c r="Q17" i="28"/>
  <c r="S17" i="28" s="1"/>
  <c r="Q80" i="28"/>
  <c r="S80" i="28" s="1"/>
  <c r="J68" i="28"/>
  <c r="Q29" i="28"/>
  <c r="S29" i="28" s="1"/>
  <c r="Q47" i="28"/>
  <c r="S47" i="28" s="1"/>
  <c r="Q10" i="28"/>
  <c r="S10" i="28" s="1"/>
  <c r="Q50" i="28"/>
  <c r="S50" i="28" s="1"/>
  <c r="J35" i="28"/>
  <c r="Q53" i="28"/>
  <c r="S53" i="28" s="1"/>
  <c r="Q42" i="28"/>
  <c r="S42" i="28" s="1"/>
  <c r="Q8" i="28"/>
  <c r="S8" i="28" s="1"/>
  <c r="Q57" i="28"/>
  <c r="S57" i="28" s="1"/>
  <c r="J12" i="28"/>
  <c r="Q21" i="28"/>
  <c r="S21" i="28" s="1"/>
  <c r="Q76" i="28"/>
  <c r="S76" i="28" s="1"/>
  <c r="J49" i="28"/>
  <c r="J63" i="28"/>
  <c r="J46" i="28"/>
  <c r="Q28" i="28"/>
  <c r="S28" i="28" s="1"/>
  <c r="Q54" i="28"/>
  <c r="S54" i="28" s="1"/>
  <c r="J31" i="28"/>
  <c r="J27" i="28"/>
  <c r="Q15" i="28"/>
  <c r="S15" i="28" s="1"/>
  <c r="J75" i="28"/>
  <c r="J85" i="28"/>
  <c r="Q23" i="28"/>
  <c r="S23" i="28" s="1"/>
  <c r="Q83" i="28"/>
  <c r="S83" i="28" s="1"/>
  <c r="Q84" i="28"/>
  <c r="S84" i="28" s="1"/>
  <c r="Q66" i="28"/>
  <c r="S66" i="28" s="1"/>
  <c r="J7" i="28"/>
  <c r="Q74" i="28"/>
  <c r="S74" i="28" s="1"/>
  <c r="Q20" i="28"/>
  <c r="S20" i="28" s="1"/>
  <c r="Q18" i="28"/>
  <c r="S18" i="28" s="1"/>
  <c r="AF34" i="33"/>
  <c r="AG34" i="33" s="1"/>
  <c r="AD34" i="33"/>
  <c r="AE34" i="33"/>
  <c r="AE44" i="33"/>
  <c r="AF44" i="33"/>
  <c r="AG44" i="33" s="1"/>
  <c r="AD44" i="33"/>
  <c r="AF42" i="33"/>
  <c r="AG42" i="33" s="1"/>
  <c r="AE42" i="33"/>
  <c r="AD42" i="33"/>
  <c r="AF48" i="33"/>
  <c r="AG48" i="33" s="1"/>
  <c r="AE48" i="33"/>
  <c r="AD48" i="33"/>
  <c r="AF72" i="33"/>
  <c r="AG72" i="33" s="1"/>
  <c r="AE72" i="33"/>
  <c r="AD72" i="33"/>
  <c r="AF38" i="33"/>
  <c r="AG38" i="33" s="1"/>
  <c r="AE38" i="33"/>
  <c r="AD38" i="33"/>
  <c r="AF70" i="33"/>
  <c r="AG70" i="33" s="1"/>
  <c r="AE70" i="33"/>
  <c r="AD70" i="33"/>
  <c r="AF40" i="33"/>
  <c r="AG40" i="33" s="1"/>
  <c r="AE40" i="33"/>
  <c r="AD40" i="33"/>
  <c r="AE84" i="33"/>
  <c r="AF84" i="33"/>
  <c r="AG84" i="33" s="1"/>
  <c r="AD84" i="33"/>
  <c r="AE75" i="33"/>
  <c r="AF75" i="33"/>
  <c r="AG75" i="33" s="1"/>
  <c r="AD75" i="33"/>
  <c r="AF55" i="33"/>
  <c r="AG55" i="33" s="1"/>
  <c r="AE55" i="33"/>
  <c r="AD55" i="33"/>
  <c r="AF74" i="33"/>
  <c r="AG74" i="33" s="1"/>
  <c r="AE74" i="33"/>
  <c r="AD74" i="33"/>
  <c r="AF31" i="33"/>
  <c r="AG31" i="33" s="1"/>
  <c r="AE31" i="33"/>
  <c r="AD31" i="33"/>
  <c r="AE49" i="33"/>
  <c r="AF49" i="33"/>
  <c r="AG49" i="33" s="1"/>
  <c r="AD49" i="33"/>
  <c r="AE36" i="33"/>
  <c r="AF36" i="33"/>
  <c r="AG36" i="33" s="1"/>
  <c r="AD36" i="33"/>
  <c r="AE41" i="33"/>
  <c r="AF41" i="33"/>
  <c r="AG41" i="33" s="1"/>
  <c r="AD41" i="33"/>
  <c r="AF50" i="33"/>
  <c r="AG50" i="33" s="1"/>
  <c r="AE50" i="33"/>
  <c r="AD50" i="33"/>
  <c r="AE27" i="33"/>
  <c r="AF27" i="33"/>
  <c r="AG27" i="33" s="1"/>
  <c r="AD27" i="33"/>
  <c r="AF45" i="33"/>
  <c r="AG45" i="33" s="1"/>
  <c r="AE45" i="33"/>
  <c r="AD45" i="33"/>
  <c r="AF63" i="33"/>
  <c r="AG63" i="33" s="1"/>
  <c r="AE63" i="33"/>
  <c r="AD63" i="33"/>
  <c r="AD19" i="33"/>
  <c r="AE19" i="33"/>
  <c r="AF19" i="33"/>
  <c r="AG19" i="33" s="1"/>
  <c r="AF77" i="33"/>
  <c r="AG77" i="33" s="1"/>
  <c r="AE77" i="33"/>
  <c r="AD77" i="33"/>
  <c r="AF18" i="33"/>
  <c r="AG18" i="33" s="1"/>
  <c r="AE18" i="33"/>
  <c r="AD18" i="33"/>
  <c r="AF58" i="33"/>
  <c r="AG58" i="33" s="1"/>
  <c r="AE58" i="33"/>
  <c r="AD58" i="33"/>
  <c r="AF54" i="33"/>
  <c r="AG54" i="33" s="1"/>
  <c r="AE54" i="33"/>
  <c r="AD54" i="33"/>
  <c r="AF71" i="33"/>
  <c r="AG71" i="33" s="1"/>
  <c r="AE71" i="33"/>
  <c r="AD71" i="33"/>
  <c r="AD66" i="33"/>
  <c r="AF66" i="33"/>
  <c r="AG66" i="33" s="1"/>
  <c r="AE66" i="33"/>
  <c r="AF46" i="33"/>
  <c r="AG46" i="33" s="1"/>
  <c r="AE46" i="33"/>
  <c r="AD46" i="33"/>
  <c r="AF33" i="33"/>
  <c r="AG33" i="33" s="1"/>
  <c r="AE33" i="33"/>
  <c r="AD33" i="33"/>
  <c r="AF51" i="33"/>
  <c r="AG51" i="33" s="1"/>
  <c r="AE51" i="33"/>
  <c r="AD51" i="33"/>
  <c r="AF8" i="33"/>
  <c r="AG8" i="33" s="1"/>
  <c r="AE8" i="33"/>
  <c r="AD8" i="33"/>
  <c r="AF56" i="33"/>
  <c r="AG56" i="33" s="1"/>
  <c r="AE56" i="33"/>
  <c r="AD56" i="33"/>
  <c r="AF64" i="33"/>
  <c r="AG64" i="33" s="1"/>
  <c r="AE64" i="33"/>
  <c r="AD64" i="33"/>
  <c r="AF62" i="33"/>
  <c r="AG62" i="33" s="1"/>
  <c r="AE62" i="33"/>
  <c r="AD62" i="33"/>
  <c r="AE60" i="33"/>
  <c r="AF60" i="33"/>
  <c r="AG60" i="33" s="1"/>
  <c r="AD60" i="33"/>
  <c r="AF85" i="33"/>
  <c r="AG85" i="33" s="1"/>
  <c r="AE85" i="33"/>
  <c r="AD85" i="33"/>
  <c r="AF39" i="33"/>
  <c r="AG39" i="33" s="1"/>
  <c r="AE39" i="33"/>
  <c r="AD39" i="33"/>
  <c r="AE43" i="33"/>
  <c r="AF43" i="33"/>
  <c r="AG43" i="33" s="1"/>
  <c r="AD43" i="33"/>
  <c r="AD26" i="33"/>
  <c r="AF26" i="33"/>
  <c r="AG26" i="33" s="1"/>
  <c r="AE26" i="33"/>
  <c r="AE28" i="33"/>
  <c r="AF28" i="33"/>
  <c r="AG28" i="33" s="1"/>
  <c r="AD28" i="33"/>
  <c r="AF13" i="33"/>
  <c r="AG13" i="33" s="1"/>
  <c r="AE13" i="33"/>
  <c r="AD13" i="33"/>
  <c r="AF73" i="33"/>
  <c r="AG73" i="33" s="1"/>
  <c r="AE73" i="33"/>
  <c r="AD73" i="33"/>
  <c r="AE25" i="33"/>
  <c r="AF25" i="33"/>
  <c r="AG25" i="33" s="1"/>
  <c r="AD25" i="33"/>
  <c r="AE65" i="33"/>
  <c r="AF65" i="33"/>
  <c r="AG65" i="33" s="1"/>
  <c r="AD65" i="33"/>
  <c r="AF24" i="33"/>
  <c r="AG24" i="33" s="1"/>
  <c r="AE24" i="33"/>
  <c r="AD24" i="33"/>
  <c r="AF69" i="33"/>
  <c r="AG69" i="33" s="1"/>
  <c r="AE69" i="33"/>
  <c r="AD69" i="33"/>
  <c r="AF80" i="33"/>
  <c r="AG80" i="33" s="1"/>
  <c r="AE80" i="33"/>
  <c r="AD80" i="33"/>
  <c r="AE68" i="33"/>
  <c r="AF68" i="33"/>
  <c r="AG68" i="33" s="1"/>
  <c r="AD68" i="33"/>
  <c r="AF17" i="33"/>
  <c r="AG17" i="33" s="1"/>
  <c r="AE17" i="33"/>
  <c r="AD17" i="33"/>
  <c r="AF86" i="33"/>
  <c r="AG86" i="33" s="1"/>
  <c r="AE86" i="33"/>
  <c r="AD86" i="33"/>
  <c r="S57" i="33"/>
  <c r="Z57" i="33"/>
  <c r="AB57" i="33" s="1"/>
  <c r="AC57" i="33" s="1"/>
  <c r="S67" i="33"/>
  <c r="Z67" i="33"/>
  <c r="AB67" i="33" s="1"/>
  <c r="AC67" i="33" s="1"/>
  <c r="S22" i="33"/>
  <c r="Z22" i="33"/>
  <c r="AB22" i="33" s="1"/>
  <c r="AC22" i="33" s="1"/>
  <c r="S10" i="33"/>
  <c r="Z10" i="33"/>
  <c r="AB10" i="33" s="1"/>
  <c r="AC10" i="33" s="1"/>
  <c r="S16" i="33"/>
  <c r="Z16" i="33"/>
  <c r="AB16" i="33" s="1"/>
  <c r="AC16" i="33" s="1"/>
  <c r="S83" i="33"/>
  <c r="Z83" i="33"/>
  <c r="AB83" i="33" s="1"/>
  <c r="AC83" i="33" s="1"/>
  <c r="S76" i="33"/>
  <c r="Z76" i="33"/>
  <c r="AB76" i="33" s="1"/>
  <c r="AC76" i="33" s="1"/>
  <c r="S47" i="33"/>
  <c r="Z47" i="33"/>
  <c r="AB47" i="33" s="1"/>
  <c r="AC47" i="33" s="1"/>
  <c r="S79" i="33"/>
  <c r="Z79" i="33"/>
  <c r="AB79" i="33" s="1"/>
  <c r="AC79" i="33" s="1"/>
  <c r="S52" i="33"/>
  <c r="Z52" i="33"/>
  <c r="AB52" i="33" s="1"/>
  <c r="AC52" i="33" s="1"/>
  <c r="S12" i="33"/>
  <c r="Z12" i="33"/>
  <c r="AB12" i="33" s="1"/>
  <c r="AC12" i="33" s="1"/>
  <c r="S32" i="33"/>
  <c r="Z32" i="33"/>
  <c r="AB32" i="33" s="1"/>
  <c r="AC32" i="33" s="1"/>
  <c r="S35" i="33"/>
  <c r="Z35" i="33"/>
  <c r="AB35" i="33" s="1"/>
  <c r="AC35" i="33" s="1"/>
  <c r="S30" i="33"/>
  <c r="Z30" i="33"/>
  <c r="AB30" i="33" s="1"/>
  <c r="AC30" i="33" s="1"/>
  <c r="S82" i="33"/>
  <c r="Z82" i="33"/>
  <c r="AB82" i="33" s="1"/>
  <c r="AC82" i="33" s="1"/>
  <c r="S29" i="33"/>
  <c r="Z29" i="33"/>
  <c r="AB29" i="33" s="1"/>
  <c r="AC29" i="33" s="1"/>
  <c r="S23" i="33"/>
  <c r="Z23" i="33"/>
  <c r="AB23" i="33" s="1"/>
  <c r="AC23" i="33" s="1"/>
  <c r="S15" i="33"/>
  <c r="Z15" i="33"/>
  <c r="AB15" i="33" s="1"/>
  <c r="AC15" i="33" s="1"/>
  <c r="S37" i="33"/>
  <c r="Z37" i="33"/>
  <c r="AB37" i="33" s="1"/>
  <c r="AC37" i="33" s="1"/>
  <c r="S21" i="33"/>
  <c r="Z21" i="33"/>
  <c r="AB21" i="33" s="1"/>
  <c r="AC21" i="33" s="1"/>
  <c r="S14" i="33"/>
  <c r="Z14" i="33"/>
  <c r="AB14" i="33" s="1"/>
  <c r="AC14" i="33" s="1"/>
  <c r="S87" i="33"/>
  <c r="Z87" i="33"/>
  <c r="AB87" i="33" s="1"/>
  <c r="AC87" i="33" s="1"/>
  <c r="S61" i="33"/>
  <c r="Z61" i="33"/>
  <c r="AB61" i="33" s="1"/>
  <c r="AC61" i="33" s="1"/>
  <c r="S59" i="33"/>
  <c r="Z59" i="33"/>
  <c r="AB59" i="33" s="1"/>
  <c r="AC59" i="33" s="1"/>
  <c r="S20" i="33"/>
  <c r="Z20" i="33"/>
  <c r="AB20" i="33" s="1"/>
  <c r="AC20" i="33" s="1"/>
  <c r="S81" i="33"/>
  <c r="Z81" i="33"/>
  <c r="AB81" i="33" s="1"/>
  <c r="AC81" i="33" s="1"/>
  <c r="S9" i="33"/>
  <c r="Z9" i="33"/>
  <c r="S53" i="33"/>
  <c r="Z53" i="33"/>
  <c r="AB53" i="33" s="1"/>
  <c r="AC53" i="33" s="1"/>
  <c r="S11" i="33"/>
  <c r="Z11" i="33"/>
  <c r="AB11" i="33" s="1"/>
  <c r="AC11" i="33" s="1"/>
  <c r="S78" i="33"/>
  <c r="Z78" i="33"/>
  <c r="AB78" i="33" s="1"/>
  <c r="AC78" i="33" s="1"/>
  <c r="Q48" i="28"/>
  <c r="S48" i="28" s="1"/>
  <c r="J65" i="28"/>
  <c r="H89" i="28"/>
  <c r="I88" i="28"/>
  <c r="J88" i="28" s="1"/>
  <c r="R27" i="37"/>
  <c r="S27" i="37" s="1"/>
  <c r="R60" i="37"/>
  <c r="S60" i="37" s="1"/>
  <c r="R46" i="37"/>
  <c r="S46" i="37" s="1"/>
  <c r="R19" i="37"/>
  <c r="S19" i="37" s="1"/>
  <c r="R40" i="37"/>
  <c r="S40" i="37" s="1"/>
  <c r="R73" i="37"/>
  <c r="S73" i="37" s="1"/>
  <c r="R42" i="37"/>
  <c r="S42" i="37" s="1"/>
  <c r="R12" i="37"/>
  <c r="S12" i="37" s="1"/>
  <c r="R68" i="37"/>
  <c r="S68" i="37" s="1"/>
  <c r="R28" i="37"/>
  <c r="S28" i="37" s="1"/>
  <c r="R55" i="37"/>
  <c r="S55" i="37" s="1"/>
  <c r="R18" i="37"/>
  <c r="S18" i="37" s="1"/>
  <c r="R29" i="37"/>
  <c r="S29" i="37" s="1"/>
  <c r="R16" i="37"/>
  <c r="S16" i="37" s="1"/>
  <c r="R49" i="37"/>
  <c r="S49" i="37" s="1"/>
  <c r="R32" i="37"/>
  <c r="S32" i="37" s="1"/>
  <c r="R41" i="37"/>
  <c r="S41" i="37" s="1"/>
  <c r="R39" i="37"/>
  <c r="S39" i="37" s="1"/>
  <c r="R33" i="37"/>
  <c r="S33" i="37" s="1"/>
  <c r="R17" i="37"/>
  <c r="S17" i="37" s="1"/>
  <c r="S70" i="37"/>
  <c r="U70" i="37" s="1"/>
  <c r="M7" i="28"/>
  <c r="O7" i="28" l="1"/>
  <c r="O88" i="28" s="1"/>
  <c r="M88" i="28"/>
  <c r="M89" i="28" s="1"/>
  <c r="AE7" i="33"/>
  <c r="AD7" i="33"/>
  <c r="Z88" i="33"/>
  <c r="Z89" i="33" s="1"/>
  <c r="Z91" i="45"/>
  <c r="S89" i="45"/>
  <c r="Y89" i="45"/>
  <c r="Z88" i="45"/>
  <c r="Z89" i="45" s="1"/>
  <c r="Z90" i="45"/>
  <c r="N89" i="37"/>
  <c r="O90" i="37"/>
  <c r="P91" i="37"/>
  <c r="P90" i="37"/>
  <c r="O91" i="37"/>
  <c r="V91" i="45"/>
  <c r="AA90" i="45"/>
  <c r="AB88" i="45"/>
  <c r="AA91" i="45"/>
  <c r="AC90" i="45"/>
  <c r="AC91" i="45"/>
  <c r="R7" i="37"/>
  <c r="R89" i="33"/>
  <c r="X72" i="46"/>
  <c r="X46" i="46"/>
  <c r="X81" i="46"/>
  <c r="X29" i="46"/>
  <c r="X79" i="46"/>
  <c r="X77" i="46"/>
  <c r="X23" i="46"/>
  <c r="X59" i="46"/>
  <c r="X75" i="46"/>
  <c r="X19" i="46"/>
  <c r="X17" i="46"/>
  <c r="X24" i="46"/>
  <c r="X50" i="46"/>
  <c r="X15" i="46"/>
  <c r="X80" i="46"/>
  <c r="X32" i="46"/>
  <c r="X31" i="46"/>
  <c r="X78" i="46"/>
  <c r="X51" i="46"/>
  <c r="X12" i="46"/>
  <c r="X21" i="46"/>
  <c r="X47" i="46"/>
  <c r="X25" i="46"/>
  <c r="X67" i="46"/>
  <c r="X26" i="46"/>
  <c r="X30" i="46"/>
  <c r="X57" i="46"/>
  <c r="X11" i="46"/>
  <c r="X27" i="46"/>
  <c r="X61" i="46"/>
  <c r="X70" i="46"/>
  <c r="X84" i="46"/>
  <c r="X66" i="46"/>
  <c r="X16" i="46"/>
  <c r="X38" i="46"/>
  <c r="X71" i="46"/>
  <c r="X58" i="46"/>
  <c r="X56" i="46"/>
  <c r="X33" i="46"/>
  <c r="X54" i="46"/>
  <c r="X34" i="46"/>
  <c r="X86" i="46"/>
  <c r="X76" i="46"/>
  <c r="X9" i="46"/>
  <c r="X44" i="46"/>
  <c r="X42" i="46"/>
  <c r="X82" i="46"/>
  <c r="X14" i="46"/>
  <c r="X39" i="46"/>
  <c r="X45" i="46"/>
  <c r="X35" i="46"/>
  <c r="X49" i="46"/>
  <c r="X53" i="46"/>
  <c r="X43" i="46"/>
  <c r="X65" i="46"/>
  <c r="X64" i="46"/>
  <c r="X83" i="46"/>
  <c r="X68" i="46"/>
  <c r="X60" i="46"/>
  <c r="X63" i="46"/>
  <c r="X74" i="46"/>
  <c r="X37" i="46"/>
  <c r="X10" i="46"/>
  <c r="X55" i="46"/>
  <c r="X73" i="46"/>
  <c r="X85" i="46"/>
  <c r="X18" i="46"/>
  <c r="X28" i="46"/>
  <c r="X20" i="46"/>
  <c r="X40" i="46"/>
  <c r="X87" i="46"/>
  <c r="X36" i="46"/>
  <c r="X48" i="46"/>
  <c r="X52" i="46"/>
  <c r="X22" i="46"/>
  <c r="X62" i="46"/>
  <c r="X69" i="46"/>
  <c r="X41" i="46"/>
  <c r="O89" i="37"/>
  <c r="T90" i="45"/>
  <c r="U88" i="45"/>
  <c r="T91" i="45"/>
  <c r="S90" i="45"/>
  <c r="T88" i="46"/>
  <c r="V7" i="46"/>
  <c r="U7" i="46"/>
  <c r="U91" i="46" s="1"/>
  <c r="AA90" i="33"/>
  <c r="AA91" i="33"/>
  <c r="Q7" i="28"/>
  <c r="S7" i="28" s="1"/>
  <c r="Z91" i="33"/>
  <c r="AB9" i="33"/>
  <c r="AE76" i="33"/>
  <c r="AF76" i="33"/>
  <c r="AG76" i="33" s="1"/>
  <c r="AD76" i="33"/>
  <c r="AE12" i="33"/>
  <c r="AF12" i="33"/>
  <c r="AG12" i="33" s="1"/>
  <c r="AD12" i="33"/>
  <c r="AD78" i="33"/>
  <c r="AF78" i="33"/>
  <c r="AG78" i="33" s="1"/>
  <c r="AE78" i="33"/>
  <c r="AE81" i="33"/>
  <c r="AF81" i="33"/>
  <c r="AG81" i="33" s="1"/>
  <c r="AD81" i="33"/>
  <c r="AF87" i="33"/>
  <c r="AG87" i="33" s="1"/>
  <c r="AE87" i="33"/>
  <c r="AD87" i="33"/>
  <c r="AF15" i="33"/>
  <c r="AG15" i="33" s="1"/>
  <c r="AE15" i="33"/>
  <c r="AD15" i="33"/>
  <c r="AF30" i="33"/>
  <c r="AG30" i="33" s="1"/>
  <c r="AE30" i="33"/>
  <c r="AD30" i="33"/>
  <c r="AE52" i="33"/>
  <c r="AF52" i="33"/>
  <c r="AG52" i="33" s="1"/>
  <c r="AD52" i="33"/>
  <c r="AE83" i="33"/>
  <c r="AF83" i="33"/>
  <c r="AG83" i="33" s="1"/>
  <c r="AD83" i="33"/>
  <c r="AE67" i="33"/>
  <c r="AF67" i="33"/>
  <c r="AG67" i="33" s="1"/>
  <c r="AD67" i="33"/>
  <c r="AF37" i="33"/>
  <c r="AG37" i="33" s="1"/>
  <c r="AE37" i="33"/>
  <c r="AD37" i="33"/>
  <c r="AF14" i="33"/>
  <c r="AG14" i="33" s="1"/>
  <c r="AE14" i="33"/>
  <c r="AD14" i="33"/>
  <c r="AF79" i="33"/>
  <c r="AG79" i="33" s="1"/>
  <c r="AE79" i="33"/>
  <c r="AD79" i="33"/>
  <c r="AF57" i="33"/>
  <c r="AG57" i="33" s="1"/>
  <c r="AE57" i="33"/>
  <c r="AD57" i="33"/>
  <c r="AD22" i="33"/>
  <c r="AF22" i="33"/>
  <c r="AG22" i="33" s="1"/>
  <c r="AE22" i="33"/>
  <c r="AE20" i="33"/>
  <c r="AF20" i="33"/>
  <c r="AG20" i="33" s="1"/>
  <c r="AD20" i="33"/>
  <c r="AF23" i="33"/>
  <c r="AG23" i="33" s="1"/>
  <c r="AE23" i="33"/>
  <c r="AD23" i="33"/>
  <c r="AE35" i="33"/>
  <c r="AF35" i="33"/>
  <c r="AG35" i="33" s="1"/>
  <c r="AD35" i="33"/>
  <c r="AF16" i="33"/>
  <c r="AG16" i="33" s="1"/>
  <c r="AE16" i="33"/>
  <c r="AD16" i="33"/>
  <c r="AF61" i="33"/>
  <c r="AG61" i="33" s="1"/>
  <c r="AE61" i="33"/>
  <c r="AD61" i="33"/>
  <c r="AE11" i="33"/>
  <c r="AF11" i="33"/>
  <c r="AG11" i="33" s="1"/>
  <c r="AD11" i="33"/>
  <c r="AF53" i="33"/>
  <c r="AG53" i="33" s="1"/>
  <c r="AE53" i="33"/>
  <c r="AD53" i="33"/>
  <c r="AF21" i="33"/>
  <c r="AG21" i="33" s="1"/>
  <c r="AE21" i="33"/>
  <c r="AD21" i="33"/>
  <c r="AF32" i="33"/>
  <c r="AG32" i="33" s="1"/>
  <c r="AE32" i="33"/>
  <c r="AD32" i="33"/>
  <c r="AF47" i="33"/>
  <c r="AG47" i="33" s="1"/>
  <c r="AE47" i="33"/>
  <c r="AD47" i="33"/>
  <c r="AD10" i="33"/>
  <c r="AF10" i="33"/>
  <c r="AG10" i="33" s="1"/>
  <c r="AE10" i="33"/>
  <c r="AF82" i="33"/>
  <c r="AG82" i="33" s="1"/>
  <c r="AE82" i="33"/>
  <c r="AD82" i="33"/>
  <c r="AE59" i="33"/>
  <c r="AF59" i="33"/>
  <c r="AG59" i="33" s="1"/>
  <c r="AD59" i="33"/>
  <c r="AF29" i="33"/>
  <c r="AG29" i="33" s="1"/>
  <c r="AE29" i="33"/>
  <c r="AD29" i="33"/>
  <c r="Z90" i="33"/>
  <c r="S88" i="33"/>
  <c r="I89" i="28"/>
  <c r="U32" i="37"/>
  <c r="T32" i="37"/>
  <c r="V32" i="37"/>
  <c r="W32" i="37" s="1"/>
  <c r="U73" i="37"/>
  <c r="T73" i="37"/>
  <c r="V73" i="37"/>
  <c r="W73" i="37" s="1"/>
  <c r="U49" i="37"/>
  <c r="T49" i="37"/>
  <c r="V49" i="37"/>
  <c r="W49" i="37" s="1"/>
  <c r="U16" i="37"/>
  <c r="T16" i="37"/>
  <c r="V16" i="37"/>
  <c r="W16" i="37" s="1"/>
  <c r="U17" i="37"/>
  <c r="T17" i="37"/>
  <c r="V17" i="37"/>
  <c r="W17" i="37" s="1"/>
  <c r="U55" i="37"/>
  <c r="T55" i="37"/>
  <c r="V55" i="37"/>
  <c r="W55" i="37" s="1"/>
  <c r="U12" i="37"/>
  <c r="V12" i="37"/>
  <c r="W12" i="37" s="1"/>
  <c r="T12" i="37"/>
  <c r="U42" i="37"/>
  <c r="T42" i="37"/>
  <c r="V42" i="37"/>
  <c r="W42" i="37" s="1"/>
  <c r="U29" i="37"/>
  <c r="T29" i="37"/>
  <c r="V29" i="37"/>
  <c r="W29" i="37" s="1"/>
  <c r="U40" i="37"/>
  <c r="T40" i="37"/>
  <c r="V40" i="37"/>
  <c r="W40" i="37" s="1"/>
  <c r="U18" i="37"/>
  <c r="T18" i="37"/>
  <c r="V18" i="37"/>
  <c r="W18" i="37" s="1"/>
  <c r="U19" i="37"/>
  <c r="T19" i="37"/>
  <c r="V19" i="37"/>
  <c r="W19" i="37" s="1"/>
  <c r="U33" i="37"/>
  <c r="T33" i="37"/>
  <c r="V33" i="37"/>
  <c r="W33" i="37" s="1"/>
  <c r="U46" i="37"/>
  <c r="T46" i="37"/>
  <c r="V46" i="37"/>
  <c r="W46" i="37" s="1"/>
  <c r="U39" i="37"/>
  <c r="T39" i="37"/>
  <c r="V39" i="37"/>
  <c r="W39" i="37" s="1"/>
  <c r="U28" i="37"/>
  <c r="T28" i="37"/>
  <c r="V28" i="37"/>
  <c r="W28" i="37" s="1"/>
  <c r="U60" i="37"/>
  <c r="V60" i="37"/>
  <c r="W60" i="37" s="1"/>
  <c r="T60" i="37"/>
  <c r="U41" i="37"/>
  <c r="T41" i="37"/>
  <c r="V41" i="37"/>
  <c r="W41" i="37" s="1"/>
  <c r="U68" i="37"/>
  <c r="T68" i="37"/>
  <c r="V68" i="37"/>
  <c r="W68" i="37" s="1"/>
  <c r="U27" i="37"/>
  <c r="T27" i="37"/>
  <c r="V27" i="37"/>
  <c r="W27" i="37" s="1"/>
  <c r="T70" i="37"/>
  <c r="V70" i="37"/>
  <c r="W70" i="37" s="1"/>
  <c r="S77" i="37"/>
  <c r="U77" i="37" s="1"/>
  <c r="S15" i="37"/>
  <c r="U15" i="37" s="1"/>
  <c r="S30" i="37"/>
  <c r="U30" i="37" s="1"/>
  <c r="S54" i="37"/>
  <c r="U54" i="37" s="1"/>
  <c r="U10" i="37"/>
  <c r="S11" i="37"/>
  <c r="S62" i="37"/>
  <c r="U62" i="37" s="1"/>
  <c r="S81" i="37"/>
  <c r="U81" i="37" s="1"/>
  <c r="S53" i="37"/>
  <c r="U53" i="37" s="1"/>
  <c r="S82" i="37"/>
  <c r="U82" i="37" s="1"/>
  <c r="O89" i="28"/>
  <c r="S7" i="37" l="1"/>
  <c r="V7" i="37" s="1"/>
  <c r="R88" i="37"/>
  <c r="R89" i="37" s="1"/>
  <c r="AC9" i="33"/>
  <c r="AC88" i="33" s="1"/>
  <c r="AB88" i="33"/>
  <c r="AB89" i="33" s="1"/>
  <c r="AB89" i="45"/>
  <c r="U89" i="45"/>
  <c r="Q88" i="28"/>
  <c r="R91" i="28"/>
  <c r="R90" i="28"/>
  <c r="V90" i="46"/>
  <c r="V91" i="46"/>
  <c r="T89" i="46"/>
  <c r="X91" i="46"/>
  <c r="AC88" i="45"/>
  <c r="V88" i="45"/>
  <c r="X90" i="46"/>
  <c r="U88" i="46"/>
  <c r="U89" i="46" s="1"/>
  <c r="U90" i="46"/>
  <c r="W88" i="46"/>
  <c r="V88" i="46"/>
  <c r="U11" i="37"/>
  <c r="T7" i="37"/>
  <c r="U7" i="37"/>
  <c r="T82" i="37"/>
  <c r="V82" i="37"/>
  <c r="W82" i="37" s="1"/>
  <c r="T30" i="37"/>
  <c r="V30" i="37"/>
  <c r="W30" i="37" s="1"/>
  <c r="T77" i="37"/>
  <c r="V77" i="37"/>
  <c r="W77" i="37" s="1"/>
  <c r="T15" i="37"/>
  <c r="V15" i="37"/>
  <c r="W15" i="37" s="1"/>
  <c r="T53" i="37"/>
  <c r="V53" i="37"/>
  <c r="W53" i="37" s="1"/>
  <c r="T81" i="37"/>
  <c r="V81" i="37"/>
  <c r="W81" i="37" s="1"/>
  <c r="T62" i="37"/>
  <c r="V62" i="37"/>
  <c r="W62" i="37" s="1"/>
  <c r="T11" i="37"/>
  <c r="V11" i="37"/>
  <c r="W11" i="37" s="1"/>
  <c r="T10" i="37"/>
  <c r="V10" i="37"/>
  <c r="W10" i="37" s="1"/>
  <c r="T54" i="37"/>
  <c r="V54" i="37"/>
  <c r="W54" i="37" s="1"/>
  <c r="Q91" i="28"/>
  <c r="Q90" i="28"/>
  <c r="AD9" i="33" l="1"/>
  <c r="AE90" i="33" s="1"/>
  <c r="AE9" i="33"/>
  <c r="AF9" i="33"/>
  <c r="AG9" i="33" s="1"/>
  <c r="W7" i="37"/>
  <c r="Q89" i="28"/>
  <c r="W89" i="46"/>
  <c r="AE88" i="33"/>
  <c r="AC89" i="33"/>
  <c r="X88" i="46"/>
  <c r="BL92" i="35"/>
  <c r="S45" i="37"/>
  <c r="U45" i="37" s="1"/>
  <c r="S51" i="37"/>
  <c r="U51" i="37" s="1"/>
  <c r="S71" i="37"/>
  <c r="U71" i="37" s="1"/>
  <c r="S67" i="37"/>
  <c r="U67" i="37" s="1"/>
  <c r="S84" i="37"/>
  <c r="U84" i="37" s="1"/>
  <c r="S20" i="37"/>
  <c r="U20" i="37" s="1"/>
  <c r="S83" i="37"/>
  <c r="U83" i="37" s="1"/>
  <c r="S66" i="37"/>
  <c r="U66" i="37" s="1"/>
  <c r="S52" i="37"/>
  <c r="U52" i="37" s="1"/>
  <c r="S26" i="37"/>
  <c r="U26" i="37" s="1"/>
  <c r="S35" i="37"/>
  <c r="U35" i="37" s="1"/>
  <c r="S31" i="37"/>
  <c r="U31" i="37" s="1"/>
  <c r="S64" i="37"/>
  <c r="U64" i="37" s="1"/>
  <c r="S37" i="37"/>
  <c r="U37" i="37" s="1"/>
  <c r="S21" i="37"/>
  <c r="U21" i="37" s="1"/>
  <c r="S74" i="37"/>
  <c r="U74" i="37" s="1"/>
  <c r="S48" i="37"/>
  <c r="U48" i="37" s="1"/>
  <c r="S69" i="37"/>
  <c r="U69" i="37" s="1"/>
  <c r="S63" i="37"/>
  <c r="U63" i="37" s="1"/>
  <c r="S85" i="37"/>
  <c r="U85" i="37" s="1"/>
  <c r="S72" i="37"/>
  <c r="U72" i="37" s="1"/>
  <c r="S61" i="37"/>
  <c r="U61" i="37" s="1"/>
  <c r="S34" i="37"/>
  <c r="U34" i="37" s="1"/>
  <c r="S76" i="37"/>
  <c r="U76" i="37" s="1"/>
  <c r="S80" i="37"/>
  <c r="U80" i="37" s="1"/>
  <c r="S24" i="37"/>
  <c r="U24" i="37" s="1"/>
  <c r="S50" i="37"/>
  <c r="U50" i="37" s="1"/>
  <c r="S59" i="37"/>
  <c r="U59" i="37" s="1"/>
  <c r="S75" i="37"/>
  <c r="U75" i="37" s="1"/>
  <c r="S14" i="37"/>
  <c r="U14" i="37" s="1"/>
  <c r="S43" i="37"/>
  <c r="U43" i="37" s="1"/>
  <c r="S25" i="37"/>
  <c r="U25" i="37" s="1"/>
  <c r="S65" i="37"/>
  <c r="U65" i="37" s="1"/>
  <c r="S44" i="37"/>
  <c r="U44" i="37" s="1"/>
  <c r="S47" i="37"/>
  <c r="U47" i="37" s="1"/>
  <c r="S78" i="37"/>
  <c r="U78" i="37" s="1"/>
  <c r="S38" i="37"/>
  <c r="U38" i="37" s="1"/>
  <c r="S13" i="37"/>
  <c r="S57" i="37"/>
  <c r="U57" i="37" s="1"/>
  <c r="S36" i="37"/>
  <c r="U36" i="37" s="1"/>
  <c r="S79" i="37"/>
  <c r="U79" i="37" s="1"/>
  <c r="U87" i="37"/>
  <c r="S86" i="37"/>
  <c r="U86" i="37" s="1"/>
  <c r="S58" i="37"/>
  <c r="U58" i="37" s="1"/>
  <c r="S56" i="37"/>
  <c r="U56" i="37" s="1"/>
  <c r="S23" i="37"/>
  <c r="U23" i="37" s="1"/>
  <c r="S22" i="37"/>
  <c r="U22" i="37" s="1"/>
  <c r="AE91" i="33" l="1"/>
  <c r="AD90" i="33"/>
  <c r="AD88" i="33"/>
  <c r="AD89" i="33" s="1"/>
  <c r="AF88" i="33"/>
  <c r="S88" i="37"/>
  <c r="AG90" i="33"/>
  <c r="AG91" i="33"/>
  <c r="AG88" i="33"/>
  <c r="AF89" i="33"/>
  <c r="U13" i="37"/>
  <c r="T8" i="37"/>
  <c r="V8" i="37"/>
  <c r="T9" i="37"/>
  <c r="V9" i="37"/>
  <c r="W9" i="37" s="1"/>
  <c r="U8" i="37"/>
  <c r="U9" i="37"/>
  <c r="T56" i="37"/>
  <c r="V56" i="37"/>
  <c r="W56" i="37" s="1"/>
  <c r="T72" i="37"/>
  <c r="V72" i="37"/>
  <c r="W72" i="37" s="1"/>
  <c r="T59" i="37"/>
  <c r="V59" i="37"/>
  <c r="W59" i="37" s="1"/>
  <c r="T67" i="37"/>
  <c r="V67" i="37"/>
  <c r="W67" i="37" s="1"/>
  <c r="T63" i="37"/>
  <c r="V63" i="37"/>
  <c r="W63" i="37" s="1"/>
  <c r="T87" i="37"/>
  <c r="V87" i="37"/>
  <c r="W87" i="37" s="1"/>
  <c r="T69" i="37"/>
  <c r="V69" i="37"/>
  <c r="W69" i="37" s="1"/>
  <c r="T26" i="37"/>
  <c r="V26" i="37"/>
  <c r="W26" i="37" s="1"/>
  <c r="T51" i="37"/>
  <c r="V51" i="37"/>
  <c r="W51" i="37" s="1"/>
  <c r="T64" i="37"/>
  <c r="V64" i="37"/>
  <c r="W64" i="37" s="1"/>
  <c r="T85" i="37"/>
  <c r="V85" i="37"/>
  <c r="W85" i="37" s="1"/>
  <c r="T71" i="37"/>
  <c r="V71" i="37"/>
  <c r="W71" i="37" s="1"/>
  <c r="T80" i="37"/>
  <c r="V80" i="37"/>
  <c r="W80" i="37" s="1"/>
  <c r="T52" i="37"/>
  <c r="V52" i="37"/>
  <c r="W52" i="37" s="1"/>
  <c r="T45" i="37"/>
  <c r="V45" i="37"/>
  <c r="W45" i="37" s="1"/>
  <c r="T84" i="37"/>
  <c r="V84" i="37"/>
  <c r="W84" i="37" s="1"/>
  <c r="T31" i="37"/>
  <c r="V31" i="37"/>
  <c r="W31" i="37" s="1"/>
  <c r="T50" i="37"/>
  <c r="V50" i="37"/>
  <c r="W50" i="37" s="1"/>
  <c r="T44" i="37"/>
  <c r="V44" i="37"/>
  <c r="W44" i="37" s="1"/>
  <c r="T79" i="37"/>
  <c r="V79" i="37"/>
  <c r="W79" i="37" s="1"/>
  <c r="T36" i="37"/>
  <c r="V36" i="37"/>
  <c r="W36" i="37" s="1"/>
  <c r="T25" i="37"/>
  <c r="V25" i="37"/>
  <c r="W25" i="37" s="1"/>
  <c r="T76" i="37"/>
  <c r="V76" i="37"/>
  <c r="W76" i="37" s="1"/>
  <c r="T74" i="37"/>
  <c r="V74" i="37"/>
  <c r="W74" i="37" s="1"/>
  <c r="T66" i="37"/>
  <c r="V66" i="37"/>
  <c r="W66" i="37" s="1"/>
  <c r="T38" i="37"/>
  <c r="V38" i="37"/>
  <c r="W38" i="37" s="1"/>
  <c r="T58" i="37"/>
  <c r="V58" i="37"/>
  <c r="W58" i="37" s="1"/>
  <c r="T86" i="37"/>
  <c r="V86" i="37"/>
  <c r="W86" i="37" s="1"/>
  <c r="T48" i="37"/>
  <c r="V48" i="37"/>
  <c r="W48" i="37" s="1"/>
  <c r="T57" i="37"/>
  <c r="V57" i="37"/>
  <c r="W57" i="37" s="1"/>
  <c r="T34" i="37"/>
  <c r="V34" i="37"/>
  <c r="W34" i="37" s="1"/>
  <c r="T21" i="37"/>
  <c r="V21" i="37"/>
  <c r="W21" i="37" s="1"/>
  <c r="T83" i="37"/>
  <c r="V83" i="37"/>
  <c r="W83" i="37" s="1"/>
  <c r="T75" i="37"/>
  <c r="V75" i="37"/>
  <c r="W75" i="37" s="1"/>
  <c r="T78" i="37"/>
  <c r="V78" i="37"/>
  <c r="W78" i="37" s="1"/>
  <c r="T47" i="37"/>
  <c r="V47" i="37"/>
  <c r="W47" i="37" s="1"/>
  <c r="T35" i="37"/>
  <c r="V35" i="37"/>
  <c r="W35" i="37" s="1"/>
  <c r="T24" i="37"/>
  <c r="V24" i="37"/>
  <c r="W24" i="37" s="1"/>
  <c r="T65" i="37"/>
  <c r="V65" i="37"/>
  <c r="W65" i="37" s="1"/>
  <c r="T22" i="37"/>
  <c r="V22" i="37"/>
  <c r="W22" i="37" s="1"/>
  <c r="T43" i="37"/>
  <c r="V43" i="37"/>
  <c r="W43" i="37" s="1"/>
  <c r="T23" i="37"/>
  <c r="V23" i="37"/>
  <c r="W23" i="37" s="1"/>
  <c r="T13" i="37"/>
  <c r="V13" i="37"/>
  <c r="W13" i="37" s="1"/>
  <c r="T14" i="37"/>
  <c r="V14" i="37"/>
  <c r="W14" i="37" s="1"/>
  <c r="T61" i="37"/>
  <c r="V61" i="37"/>
  <c r="W61" i="37" s="1"/>
  <c r="T37" i="37"/>
  <c r="V37" i="37"/>
  <c r="W37" i="37" s="1"/>
  <c r="T20" i="37"/>
  <c r="V20" i="37"/>
  <c r="W20" i="37" s="1"/>
  <c r="T88" i="37" l="1"/>
  <c r="W8" i="37"/>
  <c r="W91" i="37" s="1"/>
  <c r="V88" i="37"/>
  <c r="U91" i="37"/>
  <c r="U90" i="37"/>
  <c r="T90" i="37"/>
  <c r="T91" i="37"/>
  <c r="S89" i="37"/>
  <c r="U88" i="37"/>
  <c r="W90" i="37" l="1"/>
  <c r="T89" i="37"/>
  <c r="V89" i="37"/>
  <c r="W88" i="37"/>
</calcChain>
</file>

<file path=xl/sharedStrings.xml><?xml version="1.0" encoding="utf-8"?>
<sst xmlns="http://schemas.openxmlformats.org/spreadsheetml/2006/main" count="4019" uniqueCount="813">
  <si>
    <t>District</t>
  </si>
  <si>
    <t>Kindergarten ADM</t>
  </si>
  <si>
    <t>Students in Poverty</t>
  </si>
  <si>
    <t>Number of Teachers Needed</t>
  </si>
  <si>
    <t>ABBEVILLE 60</t>
  </si>
  <si>
    <t>AIKEN 01</t>
  </si>
  <si>
    <t>ALLENDALE 01</t>
  </si>
  <si>
    <t>ANDERSON 01</t>
  </si>
  <si>
    <t>ANDERSON 02</t>
  </si>
  <si>
    <t>ANDERSON 03</t>
  </si>
  <si>
    <t>ANDERSON 04</t>
  </si>
  <si>
    <t>ANDERSON 05</t>
  </si>
  <si>
    <t>BAMBERG 01</t>
  </si>
  <si>
    <t>BAMBERG 02</t>
  </si>
  <si>
    <t>BARNWELL 19</t>
  </si>
  <si>
    <t>BARNWELL 29</t>
  </si>
  <si>
    <t>BARNWELL 45</t>
  </si>
  <si>
    <t>BEAUFORT 01</t>
  </si>
  <si>
    <t>BERKELEY 01</t>
  </si>
  <si>
    <t>CALHOUN 01</t>
  </si>
  <si>
    <t>CHARLESTON 01</t>
  </si>
  <si>
    <t>CHEROKEE 01</t>
  </si>
  <si>
    <t>CHESTER 01</t>
  </si>
  <si>
    <t>CHESTERFIELD 01</t>
  </si>
  <si>
    <t>CLARENDON 01</t>
  </si>
  <si>
    <t>CLARENDON 02</t>
  </si>
  <si>
    <t>CLARENDON 03</t>
  </si>
  <si>
    <t>COLLETON 01</t>
  </si>
  <si>
    <t>DARLINGTON 01</t>
  </si>
  <si>
    <t>DILLON 03</t>
  </si>
  <si>
    <t>DILLON 04</t>
  </si>
  <si>
    <t>DORCHESTER 02</t>
  </si>
  <si>
    <t>DORCHESTER 04</t>
  </si>
  <si>
    <t>EDGEFIELD 01</t>
  </si>
  <si>
    <t>FAIRFIELD 01</t>
  </si>
  <si>
    <t>FLORENCE 01</t>
  </si>
  <si>
    <t>FLORENCE 02</t>
  </si>
  <si>
    <t>FLORENCE 03</t>
  </si>
  <si>
    <t>FLORENCE 04</t>
  </si>
  <si>
    <t>FLORENCE 05</t>
  </si>
  <si>
    <t>GEORGETOWN 01</t>
  </si>
  <si>
    <t>GREENVILLE 01</t>
  </si>
  <si>
    <t>GREENWOOD 50</t>
  </si>
  <si>
    <t>GREENWOOD 51</t>
  </si>
  <si>
    <t>GREENWOOD 52</t>
  </si>
  <si>
    <t>HAMPTON 01</t>
  </si>
  <si>
    <t>HAMPTON 02</t>
  </si>
  <si>
    <t>HORRY 01</t>
  </si>
  <si>
    <t>JASPER 01</t>
  </si>
  <si>
    <t>KERSHAW 01</t>
  </si>
  <si>
    <t>LANCASTER 01</t>
  </si>
  <si>
    <t>LAURENS 55</t>
  </si>
  <si>
    <t>LAURENS 56</t>
  </si>
  <si>
    <t>LEE 01</t>
  </si>
  <si>
    <t>LEXINGTON 01</t>
  </si>
  <si>
    <t>LEXINGTON 02</t>
  </si>
  <si>
    <t>LEXINGTON 03</t>
  </si>
  <si>
    <t>LEXINGTON 04</t>
  </si>
  <si>
    <t>LEXINGTON 05</t>
  </si>
  <si>
    <t>MARION 10</t>
  </si>
  <si>
    <t>MARLBORO 01</t>
  </si>
  <si>
    <t>MCCORMICK 01</t>
  </si>
  <si>
    <t>NEWBERRY 01</t>
  </si>
  <si>
    <t>OCONEE 01</t>
  </si>
  <si>
    <t>ORANGEBURG 03</t>
  </si>
  <si>
    <t>ORANGEBURG 04</t>
  </si>
  <si>
    <t>ORANGEBURG 05</t>
  </si>
  <si>
    <t>PICKENS 01</t>
  </si>
  <si>
    <t>RICHLAND 01</t>
  </si>
  <si>
    <t>RICHLAND 02</t>
  </si>
  <si>
    <t>SALUDA 01</t>
  </si>
  <si>
    <t>SPARTANBURG 01</t>
  </si>
  <si>
    <t>SPARTANBURG 02</t>
  </si>
  <si>
    <t>SPARTANBURG 03</t>
  </si>
  <si>
    <t>SPARTANBURG 04</t>
  </si>
  <si>
    <t>SPARTANBURG 05</t>
  </si>
  <si>
    <t xml:space="preserve">SPARTANBURG 06 </t>
  </si>
  <si>
    <t>SPARTANBURG 07</t>
  </si>
  <si>
    <t>SUMTER 01</t>
  </si>
  <si>
    <t>UNION 01</t>
  </si>
  <si>
    <t>WILLIAMSBURG 01</t>
  </si>
  <si>
    <t>YORK 01</t>
  </si>
  <si>
    <t>YORK 02</t>
  </si>
  <si>
    <t>YORK 03</t>
  </si>
  <si>
    <t>YORK 04</t>
  </si>
  <si>
    <t>Pupils in Poverty</t>
  </si>
  <si>
    <t>Total ADM</t>
  </si>
  <si>
    <t>Total Teachers Needed</t>
  </si>
  <si>
    <t>Estimated ADM</t>
  </si>
  <si>
    <t>Total Estimated</t>
  </si>
  <si>
    <t>Grades 9-12 ADM</t>
  </si>
  <si>
    <t>Total</t>
  </si>
  <si>
    <t>% Poverty</t>
  </si>
  <si>
    <t>Actual Counts</t>
  </si>
  <si>
    <t>Teacher Cost:</t>
  </si>
  <si>
    <t>Average Salary:</t>
  </si>
  <si>
    <t>Total:</t>
  </si>
  <si>
    <t>Aide Cost:</t>
  </si>
  <si>
    <t>Health Insurance:</t>
  </si>
  <si>
    <t>Total Cost</t>
  </si>
  <si>
    <t>Number of Aides Needed</t>
  </si>
  <si>
    <t>Students in Poverty:</t>
  </si>
  <si>
    <t>Students in 
Poverty:</t>
  </si>
  <si>
    <t>Students in 
Non-Poverty:</t>
  </si>
  <si>
    <t>Student/
Teacher Ratios:</t>
  </si>
  <si>
    <t>Total Cost Using Model</t>
  </si>
  <si>
    <t># of Aides per Teacher:</t>
  </si>
  <si>
    <t>Students in Non-Poverty:</t>
  </si>
  <si>
    <t>Grades 1-3 ADM</t>
  </si>
  <si>
    <t>Grades 4-6 ADM</t>
  </si>
  <si>
    <t>Grades 7-8 ADM</t>
  </si>
  <si>
    <t>*</t>
  </si>
  <si>
    <t>Total Cost Per District</t>
  </si>
  <si>
    <t>Service Allocation</t>
  </si>
  <si>
    <t>Gifted and Talented</t>
  </si>
  <si>
    <t>Academic Assistance</t>
  </si>
  <si>
    <t>Limited English Proficiency</t>
  </si>
  <si>
    <t>Dual Credit Enrollment</t>
  </si>
  <si>
    <t>Personalized Instruction Needs</t>
  </si>
  <si>
    <t>Students</t>
  </si>
  <si>
    <t>Remaining Students</t>
  </si>
  <si>
    <t>Grades 1-3</t>
  </si>
  <si>
    <t>Grades 4-6</t>
  </si>
  <si>
    <t>Grades 7-8</t>
  </si>
  <si>
    <t>Grades 9-12</t>
  </si>
  <si>
    <t>School Administration</t>
  </si>
  <si>
    <t>Total Instruction</t>
  </si>
  <si>
    <t xml:space="preserve">Service Allocation </t>
  </si>
  <si>
    <t>Speech Therapy</t>
  </si>
  <si>
    <t>Students Requiring Occupational or Physical Therapy</t>
  </si>
  <si>
    <t>Students Requiring Psychologists</t>
  </si>
  <si>
    <t>Students Requiring Speech Therapy</t>
  </si>
  <si>
    <t>Career &amp; Technology</t>
  </si>
  <si>
    <t>Students Requiring Orientation &amp; Mobility Specialists</t>
  </si>
  <si>
    <t xml:space="preserve">Orientation &amp; Mobility </t>
  </si>
  <si>
    <t>Occupational or Physical Therapy</t>
  </si>
  <si>
    <t>Psychologists</t>
  </si>
  <si>
    <t>Employer Contributions (Fringe)</t>
  </si>
  <si>
    <t>Employer Contribution:</t>
  </si>
  <si>
    <t>Guidance Counselors</t>
  </si>
  <si>
    <t>Library/Media Specialist</t>
  </si>
  <si>
    <t>Career Specialists</t>
  </si>
  <si>
    <t>Technology</t>
  </si>
  <si>
    <t># of Guidance Counselors:</t>
  </si>
  <si>
    <t># of Library:</t>
  </si>
  <si>
    <t># of Career Specialists:</t>
  </si>
  <si>
    <t>Fringe</t>
  </si>
  <si>
    <t>Instructional Support</t>
  </si>
  <si>
    <t>Total Cost per District</t>
  </si>
  <si>
    <t>Nurses</t>
  </si>
  <si>
    <t># of Nurses:</t>
  </si>
  <si>
    <t>Total Per Cost District</t>
  </si>
  <si>
    <t>Superintendent Costs:</t>
  </si>
  <si>
    <t># of Superintendents:</t>
  </si>
  <si>
    <t>Superintendent</t>
  </si>
  <si>
    <t>School Facilities</t>
  </si>
  <si>
    <t>$ per Sq Ft</t>
  </si>
  <si>
    <t>Security/Safety Equipment</t>
  </si>
  <si>
    <t>Transportation Staff (Bus Drivers)</t>
  </si>
  <si>
    <t>Maintenance</t>
  </si>
  <si>
    <t>Utilities</t>
  </si>
  <si>
    <t>Fringe Rate</t>
  </si>
  <si>
    <t>Bus Driver Salaries</t>
  </si>
  <si>
    <t>Average Minimum Salary:</t>
  </si>
  <si>
    <t>Instructional Support Costs FY 2018-19</t>
  </si>
  <si>
    <t>School Administration Costs FY 2018-19</t>
  </si>
  <si>
    <t>Total Cost for Instruction</t>
  </si>
  <si>
    <t>Total Cost for Facilities</t>
  </si>
  <si>
    <t>Total Cost for District Services</t>
  </si>
  <si>
    <t>Index without Owner Occupied</t>
  </si>
  <si>
    <t># of Superintendents</t>
  </si>
  <si>
    <t>Salary:</t>
  </si>
  <si>
    <t>Employer Contribution Rate (Fringe)</t>
  </si>
  <si>
    <t>Poverty</t>
  </si>
  <si>
    <t>Non-Poverty</t>
  </si>
  <si>
    <t>Grade K</t>
  </si>
  <si>
    <t>All Students</t>
  </si>
  <si>
    <t>Orientation &amp; Mobility Specialists</t>
  </si>
  <si>
    <t>Career &amp; Technology Education</t>
  </si>
  <si>
    <t>Measure: Per ADM</t>
  </si>
  <si>
    <t>Per Teacher</t>
  </si>
  <si>
    <t>Positions</t>
  </si>
  <si>
    <t>For Every</t>
  </si>
  <si>
    <t>Teachers</t>
  </si>
  <si>
    <t>Number of Teachers</t>
  </si>
  <si>
    <t>Total Aides</t>
  </si>
  <si>
    <t>Per Teachers</t>
  </si>
  <si>
    <t>Total Number of Teachers</t>
  </si>
  <si>
    <t>School Administrators</t>
  </si>
  <si>
    <t>Measure: Per Teachers</t>
  </si>
  <si>
    <t>Allocations</t>
  </si>
  <si>
    <t>School Administrator Cost</t>
  </si>
  <si>
    <t>School Staff Costs:</t>
  </si>
  <si>
    <t># of Staff</t>
  </si>
  <si>
    <t>School Staff</t>
  </si>
  <si>
    <t>School Staff Cost</t>
  </si>
  <si>
    <t>Over</t>
  </si>
  <si>
    <t>Measure: Per District</t>
  </si>
  <si>
    <t>per teachers</t>
  </si>
  <si>
    <t>Security/Safety Equipment (non personnel)</t>
  </si>
  <si>
    <t>ITA</t>
  </si>
  <si>
    <t xml:space="preserve">District Leadership and Services </t>
  </si>
  <si>
    <t>per teacher</t>
  </si>
  <si>
    <t>District Technology</t>
  </si>
  <si>
    <t>Equipment</t>
  </si>
  <si>
    <t># staff</t>
  </si>
  <si>
    <t># allocations</t>
  </si>
  <si>
    <t>Local Share</t>
  </si>
  <si>
    <t>Total State Cost</t>
  </si>
  <si>
    <t>State Funding Percentage</t>
  </si>
  <si>
    <t>Totals</t>
  </si>
  <si>
    <t>State Cost</t>
  </si>
  <si>
    <t>Total Local Share</t>
  </si>
  <si>
    <t>Actual</t>
  </si>
  <si>
    <t>Model</t>
  </si>
  <si>
    <t>Library/Media</t>
  </si>
  <si>
    <t>Difference (model - actual)</t>
  </si>
  <si>
    <t>School Security Staff</t>
  </si>
  <si>
    <t>Min</t>
  </si>
  <si>
    <t>Max</t>
  </si>
  <si>
    <t>District Staff</t>
  </si>
  <si>
    <t>ADMs</t>
  </si>
  <si>
    <t>Allotment</t>
  </si>
  <si>
    <t>Security/ Safety Equipment</t>
  </si>
  <si>
    <t>Paraprofessionals</t>
  </si>
  <si>
    <t>Total Additional Staff</t>
  </si>
  <si>
    <t>Specialty Providers</t>
  </si>
  <si>
    <t>Health Services FY 2018-19</t>
  </si>
  <si>
    <t>Amount:</t>
  </si>
  <si>
    <t>FY 19 State Payments</t>
  </si>
  <si>
    <t>ins</t>
  </si>
  <si>
    <t>inst</t>
  </si>
  <si>
    <t>trans</t>
  </si>
  <si>
    <t>health</t>
  </si>
  <si>
    <t>all</t>
  </si>
  <si>
    <t>inst/dist</t>
  </si>
  <si>
    <t>tech</t>
  </si>
  <si>
    <t>dist</t>
  </si>
  <si>
    <t>inst supp</t>
  </si>
  <si>
    <t>fac</t>
  </si>
  <si>
    <t>out</t>
  </si>
  <si>
    <t>Payment Type</t>
  </si>
  <si>
    <t>Guidance/Career Specialists</t>
  </si>
  <si>
    <t>Student Health and Fitness</t>
  </si>
  <si>
    <t>Aid to School Districts - Bus Shops</t>
  </si>
  <si>
    <t>Other Aid to Districts</t>
  </si>
  <si>
    <t>EFA</t>
  </si>
  <si>
    <t>EIA</t>
  </si>
  <si>
    <t>Reading Coaches</t>
  </si>
  <si>
    <t>Lottery</t>
  </si>
  <si>
    <t>medicaid</t>
  </si>
  <si>
    <t>District Name</t>
  </si>
  <si>
    <t>0720 - Medicaid FY 09-10</t>
  </si>
  <si>
    <t>0720A - Medicaid FY 08-09</t>
  </si>
  <si>
    <t>3118 - EEDA Career Specialists</t>
  </si>
  <si>
    <t>3127 - Student Health &amp; Fitness</t>
  </si>
  <si>
    <t>3131 - SP Contracts</t>
  </si>
  <si>
    <t>3131A - Bus Driver Aides</t>
  </si>
  <si>
    <t>3132 - Home Instruction</t>
  </si>
  <si>
    <t>3136 - Health/Fitness - Nurses</t>
  </si>
  <si>
    <t>3160 - Bus Driver Salary</t>
  </si>
  <si>
    <t>3160A - R-60 Contract</t>
  </si>
  <si>
    <t>3160C - Driver Sled Check</t>
  </si>
  <si>
    <t>3161 - EAA Bus Driver Salary</t>
  </si>
  <si>
    <t>3162 - Bus Driver's Workers Com</t>
  </si>
  <si>
    <t>3180 - Fringe Benefits</t>
  </si>
  <si>
    <t>3199G - Sub Pay</t>
  </si>
  <si>
    <t>3311 - Kindergarten - EFA</t>
  </si>
  <si>
    <t>3312 - Primary - EFA</t>
  </si>
  <si>
    <t>3313 - Elementary - EFA</t>
  </si>
  <si>
    <t>3314 - High School - EFA</t>
  </si>
  <si>
    <t>3315 - TMH - EFA</t>
  </si>
  <si>
    <t>3316 - Speech - EFA</t>
  </si>
  <si>
    <t>3317 - Homebound - EFA</t>
  </si>
  <si>
    <t>3321 - EH - EFA</t>
  </si>
  <si>
    <t>3322 - EMH - EFA</t>
  </si>
  <si>
    <t>3323 - LD - EFA</t>
  </si>
  <si>
    <t>3324  - HH - EFA</t>
  </si>
  <si>
    <t>3325 - VH - EFA</t>
  </si>
  <si>
    <t>3326 - OH - EFA</t>
  </si>
  <si>
    <t>3327 - Vocational - EFA</t>
  </si>
  <si>
    <t>3331 - Autism - EFA</t>
  </si>
  <si>
    <t>3350 - RTF Payments</t>
  </si>
  <si>
    <t>3509 - Arts in Education</t>
  </si>
  <si>
    <t>3526 Refurbish Science Kits</t>
  </si>
  <si>
    <t>3538 - Students at Risk of Failure</t>
  </si>
  <si>
    <t>3550 - Teacher Salary Supplement</t>
  </si>
  <si>
    <t>3555 - Fringe Teacher Salary</t>
  </si>
  <si>
    <t>3599 - Misc EIA</t>
  </si>
  <si>
    <t>704 - EFA Adjustment</t>
  </si>
  <si>
    <t>3351- Academic Assistance</t>
  </si>
  <si>
    <t>3502-ADEPT</t>
  </si>
  <si>
    <t>3507-Aid to District Technology</t>
  </si>
  <si>
    <t>3597- Aid to Districts</t>
  </si>
  <si>
    <t>3529- Career and Technology Education</t>
  </si>
  <si>
    <t>3519B-Career-Ready Assessments</t>
  </si>
  <si>
    <t>3519A-College-Ready Assessments</t>
  </si>
  <si>
    <t>3353-Dual Enrollment</t>
  </si>
  <si>
    <t>EEDA Career Awareness &amp; Professional Dev</t>
  </si>
  <si>
    <t>3596- EEDA Career Specialists</t>
  </si>
  <si>
    <t>3599D-E-Rate Category 2 Match</t>
  </si>
  <si>
    <t>3518- Formative Assessment</t>
  </si>
  <si>
    <t>3519- Grade 10 Assessments</t>
  </si>
  <si>
    <t>3332-High Achieving Students</t>
  </si>
  <si>
    <t>3519C- IB Exams</t>
  </si>
  <si>
    <t>3528- Industry Certificates</t>
  </si>
  <si>
    <t>3334-Limited English Proficiency</t>
  </si>
  <si>
    <t>3199I-Profoundly Mentally Disabled</t>
  </si>
  <si>
    <t>3352- Pupils in Poverty</t>
  </si>
  <si>
    <t>3670-School Safety Upgrades</t>
  </si>
  <si>
    <t>WBL CAREER SPECIALISTS</t>
  </si>
  <si>
    <t>WBL STAFF DEVELOPMENT</t>
  </si>
  <si>
    <t>TOTAL</t>
  </si>
  <si>
    <t>1930 - Special Needs Transp</t>
  </si>
  <si>
    <t>3181 - Retiree Insurance</t>
  </si>
  <si>
    <t>3193 - Apple Tags</t>
  </si>
  <si>
    <t>3300 - Educ Finance Act</t>
  </si>
  <si>
    <t>3571 - Palmetto Priority Schools</t>
  </si>
  <si>
    <t>3577 - Teacher Supply</t>
  </si>
  <si>
    <t>3699 - Misc. Lottery</t>
  </si>
  <si>
    <t>DSS SNAP &amp; E&amp;T Program</t>
  </si>
  <si>
    <t>EEDA Supplemental Programs</t>
  </si>
  <si>
    <t>3599C Personalized Learning PD</t>
  </si>
  <si>
    <t>3597A PROFESSIONAL DEVELOPMENT</t>
  </si>
  <si>
    <t>3557A-Summer Reading Partnership</t>
  </si>
  <si>
    <t>3557-Summer Reading Program</t>
  </si>
  <si>
    <t>3187-Teacher Supply</t>
  </si>
  <si>
    <t>G-T Professional Development</t>
  </si>
  <si>
    <t>Charter District Payments</t>
  </si>
  <si>
    <t>3134 - CDEPP</t>
  </si>
  <si>
    <t>3532 - National Board Certified</t>
  </si>
  <si>
    <t>3533 - Teacher of the Year</t>
  </si>
  <si>
    <t>3540 - 4-yr-old Early Childhood</t>
  </si>
  <si>
    <t>3541-CDEPP</t>
  </si>
  <si>
    <t>3556 - Adult Education</t>
  </si>
  <si>
    <t>3156-Adult Education</t>
  </si>
  <si>
    <t>3134D- CDEP Curriculum</t>
  </si>
  <si>
    <t>3134G-CDEP Extended Year</t>
  </si>
  <si>
    <t>3134H-CDEP Summer Program</t>
  </si>
  <si>
    <t>3134A-CDEPP Supplies/Materials</t>
  </si>
  <si>
    <t>3541W-CERDEP Waterford UPSTART</t>
  </si>
  <si>
    <t>3392- NBC Excess EFA Formula</t>
  </si>
  <si>
    <t>TOTAL EXCLUSIONS</t>
  </si>
  <si>
    <t>ABBEVILLE</t>
  </si>
  <si>
    <t>AIKEN</t>
  </si>
  <si>
    <t>ALLENDALE</t>
  </si>
  <si>
    <t>ANDERSON 1</t>
  </si>
  <si>
    <t>ANDERSON 2</t>
  </si>
  <si>
    <t>ANDERSON 3</t>
  </si>
  <si>
    <t>ANDERSON 4</t>
  </si>
  <si>
    <t>ANDERSON 5</t>
  </si>
  <si>
    <t>BAMBERG 1</t>
  </si>
  <si>
    <t>BAMBERG 2</t>
  </si>
  <si>
    <t>BEAUFORT</t>
  </si>
  <si>
    <t>BERKELEY</t>
  </si>
  <si>
    <t>CALHOUN</t>
  </si>
  <si>
    <t>CHARLESTON</t>
  </si>
  <si>
    <t>CHEROKEE</t>
  </si>
  <si>
    <t>CHESTER</t>
  </si>
  <si>
    <t>CHESTERFIELD</t>
  </si>
  <si>
    <t>CLARENDON 1</t>
  </si>
  <si>
    <t>CLARENDON 2</t>
  </si>
  <si>
    <t>CLARENDON 3</t>
  </si>
  <si>
    <t>COLLETON</t>
  </si>
  <si>
    <t>DARLINGTON</t>
  </si>
  <si>
    <t>DILLON 3</t>
  </si>
  <si>
    <t>DILLON 4</t>
  </si>
  <si>
    <t>DORCHESTER 2</t>
  </si>
  <si>
    <t>DORCHESTER 4</t>
  </si>
  <si>
    <t>EDGEFIELD</t>
  </si>
  <si>
    <t>FAIRFIELD</t>
  </si>
  <si>
    <t>FLORENCE 1</t>
  </si>
  <si>
    <t>FLORENCE 2</t>
  </si>
  <si>
    <t>FLORENCE 3</t>
  </si>
  <si>
    <t>FLORENCE 4</t>
  </si>
  <si>
    <t>FLORENCE 5</t>
  </si>
  <si>
    <t>GEORGETOWN</t>
  </si>
  <si>
    <t>GREENVILLE</t>
  </si>
  <si>
    <t>HAMPTON 1</t>
  </si>
  <si>
    <t>HAMPTON 2</t>
  </si>
  <si>
    <t>HORRY</t>
  </si>
  <si>
    <t>JASPER</t>
  </si>
  <si>
    <t>KERSHAW</t>
  </si>
  <si>
    <t>LANCASTER</t>
  </si>
  <si>
    <t>LEE</t>
  </si>
  <si>
    <t>LEXINGTON 1</t>
  </si>
  <si>
    <t>LEXINGTON 2</t>
  </si>
  <si>
    <t>LEXINGTON 3</t>
  </si>
  <si>
    <t>LEXINGTON 4</t>
  </si>
  <si>
    <t>LEXINGTON 5</t>
  </si>
  <si>
    <t>MARLBORO</t>
  </si>
  <si>
    <t>McCORMICK</t>
  </si>
  <si>
    <t>NEWBERRY</t>
  </si>
  <si>
    <t>OCONEE</t>
  </si>
  <si>
    <t>ORANGEBURG 3</t>
  </si>
  <si>
    <t>ORANGEBURG 4</t>
  </si>
  <si>
    <t>ORANGEBURG 5</t>
  </si>
  <si>
    <t>PICKENS</t>
  </si>
  <si>
    <t>RICHLAND 1</t>
  </si>
  <si>
    <t>RICHLAND 2</t>
  </si>
  <si>
    <t>SALUDA</t>
  </si>
  <si>
    <t>SPARTANBURG 1</t>
  </si>
  <si>
    <t>SPARTANBURG 2</t>
  </si>
  <si>
    <t>SPARTANBURG 3</t>
  </si>
  <si>
    <t>SPARTANBURG 4</t>
  </si>
  <si>
    <t>SPARTANBURG 5</t>
  </si>
  <si>
    <t>SPARTANBURG 6</t>
  </si>
  <si>
    <t>SPARTANBURG 7</t>
  </si>
  <si>
    <t>SUMTER 1</t>
  </si>
  <si>
    <t>UNION</t>
  </si>
  <si>
    <t>WILLAMSBURG</t>
  </si>
  <si>
    <t>YORK 1</t>
  </si>
  <si>
    <t>YORK 2</t>
  </si>
  <si>
    <t>YORK 3</t>
  </si>
  <si>
    <t>YORK 4</t>
  </si>
  <si>
    <t>REGULAR DISTRICT TOTALS</t>
  </si>
  <si>
    <t>CHARTER DISTRICT</t>
  </si>
  <si>
    <t>ERSKINE</t>
  </si>
  <si>
    <t>CHARTER TOTALS</t>
  </si>
  <si>
    <t>TY 18 Reimbursements</t>
  </si>
  <si>
    <t>Tier I</t>
  </si>
  <si>
    <t>Tier II School Ops</t>
  </si>
  <si>
    <t xml:space="preserve">Tier III </t>
  </si>
  <si>
    <t>2.5 Supp</t>
  </si>
  <si>
    <t xml:space="preserve">Tier II Other </t>
  </si>
  <si>
    <t>Manufacturers' Depreciation</t>
  </si>
  <si>
    <t>Manufacturers' Exemption</t>
  </si>
  <si>
    <t>Merchant Inventory</t>
  </si>
  <si>
    <t>(Capped)</t>
  </si>
  <si>
    <t>June Final</t>
  </si>
  <si>
    <t>RFA Calc</t>
  </si>
  <si>
    <t>(Capped) RFA Calc</t>
  </si>
  <si>
    <t xml:space="preserve">ABBEVILLE   </t>
  </si>
  <si>
    <t>ABBEVILLE SCHOOL DISTRICT</t>
  </si>
  <si>
    <t xml:space="preserve">AIKEN        </t>
  </si>
  <si>
    <t>AIKEN SCHOOL DISTRICT</t>
  </si>
  <si>
    <t xml:space="preserve">ALLENDALE    </t>
  </si>
  <si>
    <t>ALLENDALE SCHOOL DISTRICT</t>
  </si>
  <si>
    <t>ANDERSON</t>
  </si>
  <si>
    <t>ANDERSON DISTRICT 1</t>
  </si>
  <si>
    <t>ANDERSON DISTRICT 2</t>
  </si>
  <si>
    <t>ANDERSON DISTRICT 3</t>
  </si>
  <si>
    <t>ANDERSON DISTRICT 4</t>
  </si>
  <si>
    <t>ANDERSON DISTRICT 5</t>
  </si>
  <si>
    <t xml:space="preserve">BAMBERG </t>
  </si>
  <si>
    <t>BAMBERG DISTRICT 1</t>
  </si>
  <si>
    <t>BAMBERG DISTRICT 2</t>
  </si>
  <si>
    <t>BARNWELL</t>
  </si>
  <si>
    <t>BARNWELL DISTRICT 19</t>
  </si>
  <si>
    <t>BARNWELL DISTRICT 29</t>
  </si>
  <si>
    <t>BARNWELL DISTRICT 45</t>
  </si>
  <si>
    <t xml:space="preserve">BEAUFORT </t>
  </si>
  <si>
    <t>BEAUFORT SCHOOL DISTRICT</t>
  </si>
  <si>
    <t>BERKELEY SCHOOL DISTRICT</t>
  </si>
  <si>
    <t xml:space="preserve">CALHOUN    </t>
  </si>
  <si>
    <t>CALHOUN SCHOOL DISTRICT</t>
  </si>
  <si>
    <t xml:space="preserve">CHARLESTON </t>
  </si>
  <si>
    <t>CHARLESTON SCHOOL DISTRICT</t>
  </si>
  <si>
    <t xml:space="preserve">CHEROKEE   </t>
  </si>
  <si>
    <t>CHEROKEE SCHOOL DISTRICT</t>
  </si>
  <si>
    <t xml:space="preserve">CHESTER     </t>
  </si>
  <si>
    <t>CHESTER SCHOOL DISTRICT</t>
  </si>
  <si>
    <t>CHESTERFIELD SCHOOL DISTRICT</t>
  </si>
  <si>
    <t>CLARENDON</t>
  </si>
  <si>
    <t>CLARENDON DISTRICT 1</t>
  </si>
  <si>
    <t>CLARENDON DISTRICT 2</t>
  </si>
  <si>
    <t>CLARENDON DISTRICT 3</t>
  </si>
  <si>
    <t xml:space="preserve">COLLETON    </t>
  </si>
  <si>
    <t>COLLETON SCHOOL DISTRICT</t>
  </si>
  <si>
    <t xml:space="preserve">DARLINGTON   </t>
  </si>
  <si>
    <t>DARLINGTON SCHOOL DISTRICT</t>
  </si>
  <si>
    <t>DILLON</t>
  </si>
  <si>
    <t>DILLON DISTRICT 3</t>
  </si>
  <si>
    <t>DILLON SCHOOL DISTRICT 4</t>
  </si>
  <si>
    <t>DORCHESTER</t>
  </si>
  <si>
    <t>DORCHESTER DISTRICT 2</t>
  </si>
  <si>
    <t>DORCHESTER DISTRICT 4</t>
  </si>
  <si>
    <t xml:space="preserve">EDGEFIELD   </t>
  </si>
  <si>
    <t>EDGEFIELD SCHOOL DISTRICT</t>
  </si>
  <si>
    <t xml:space="preserve">FAIRFIELD    </t>
  </si>
  <si>
    <t>FAIRFIELD SCHOOL DISTRICT</t>
  </si>
  <si>
    <t>FLORENCE</t>
  </si>
  <si>
    <t>FLORENCE DISTRICT 1</t>
  </si>
  <si>
    <t>FLORENCE DISTRICT 2</t>
  </si>
  <si>
    <t>FLORENCE DISTRICT 3</t>
  </si>
  <si>
    <t>FLORENCE DISTRICT 4</t>
  </si>
  <si>
    <t>FLORENCE DISTRICT 5</t>
  </si>
  <si>
    <t xml:space="preserve">GEORGETOWN   </t>
  </si>
  <si>
    <t>GEORGETOWN SCHOOL DISTRICT</t>
  </si>
  <si>
    <t xml:space="preserve">GREENVILLE   </t>
  </si>
  <si>
    <t>GREENVILLE SCHOOL DISTRICT</t>
  </si>
  <si>
    <t>GREENWOOD</t>
  </si>
  <si>
    <t>GREENWOOD DISTRICT 50</t>
  </si>
  <si>
    <t>GREENWOOD DISTRICT 51</t>
  </si>
  <si>
    <t>GREENWOOD DISTRICT 52</t>
  </si>
  <si>
    <t>HAMPTON</t>
  </si>
  <si>
    <t>HAMPTON DISTRICT 1</t>
  </si>
  <si>
    <t>HAMPTON DISTRICT 2</t>
  </si>
  <si>
    <t xml:space="preserve">HORRY       </t>
  </si>
  <si>
    <t>HORRY SCHOOL DISTRICT</t>
  </si>
  <si>
    <t xml:space="preserve">JASPER      </t>
  </si>
  <si>
    <t>JASPER SCHOOL DISTRICT</t>
  </si>
  <si>
    <t xml:space="preserve">KERSHAW      </t>
  </si>
  <si>
    <t>KERSHAW SCHOOL DISTRICT</t>
  </si>
  <si>
    <t xml:space="preserve">LANCASTER    </t>
  </si>
  <si>
    <t>LANCASTER SCHOOL DISTRICT</t>
  </si>
  <si>
    <t>LAURENS</t>
  </si>
  <si>
    <t>LAURENS DISTRICT 55</t>
  </si>
  <si>
    <t>LAURENS DISTRICT 56</t>
  </si>
  <si>
    <t xml:space="preserve">LEE          </t>
  </si>
  <si>
    <t>LEE SCHOOL DISTRICT</t>
  </si>
  <si>
    <t>LEXINGTON</t>
  </si>
  <si>
    <t>LEXINGTON DISTRICT 1</t>
  </si>
  <si>
    <t>LEXINGTON DISTRICT 2</t>
  </si>
  <si>
    <t>LEXINGTON DISTRICT 3</t>
  </si>
  <si>
    <t>LEXINGTON DISTRICT 4</t>
  </si>
  <si>
    <t>LEXINGTON DISTRICT 5</t>
  </si>
  <si>
    <t>MARION</t>
  </si>
  <si>
    <t>MARION CNTY SCHOOL DISTRICT</t>
  </si>
  <si>
    <t xml:space="preserve">MARLBORO  </t>
  </si>
  <si>
    <t>MARLBORO SCHOOL DISTRICT</t>
  </si>
  <si>
    <t xml:space="preserve">MCCORMICK  </t>
  </si>
  <si>
    <t>MCCORMICK SCHOOL DISTRICT</t>
  </si>
  <si>
    <t xml:space="preserve">NEWBERRY    </t>
  </si>
  <si>
    <t>NEWBERRY SCHOOL DISTRICT</t>
  </si>
  <si>
    <t xml:space="preserve">OCONEE      </t>
  </si>
  <si>
    <t>OCONEE SCHOOL DISTRICT</t>
  </si>
  <si>
    <t>ORANGEBURG</t>
  </si>
  <si>
    <t>ORANGEBURG DISTRICT 3</t>
  </si>
  <si>
    <t>ORANGEBURG DISTRICT 4</t>
  </si>
  <si>
    <t>ORANGEBURG DISTRICT 5</t>
  </si>
  <si>
    <t xml:space="preserve">PICKENS      </t>
  </si>
  <si>
    <t>PICKENS SCHOOL DISTRICT</t>
  </si>
  <si>
    <t>RICHLAND</t>
  </si>
  <si>
    <t>RICHLAND DISTRICT 1</t>
  </si>
  <si>
    <t>RICHLAND DISTRICT 2</t>
  </si>
  <si>
    <t xml:space="preserve">SALUDA      </t>
  </si>
  <si>
    <t>SALUDA SCHOOL DISTRICT</t>
  </si>
  <si>
    <t>SPARTANBURG</t>
  </si>
  <si>
    <t>SPARTANBURG DISTRICT 1</t>
  </si>
  <si>
    <t>SPARTANBURG DISTRICT 2</t>
  </si>
  <si>
    <t>SPARTANBURG DISTRICT 3</t>
  </si>
  <si>
    <t>SPARTANBURG DISTRICT 4</t>
  </si>
  <si>
    <t>SPARTANBURG DISTRICT 5</t>
  </si>
  <si>
    <t>SPARTANBURG DISTRICT 6</t>
  </si>
  <si>
    <t>SPARTANBURG DISTRICT 7</t>
  </si>
  <si>
    <t>SUMTER</t>
  </si>
  <si>
    <t>SUMTER SCHOOL DISTRICT</t>
  </si>
  <si>
    <t xml:space="preserve">UNION       </t>
  </si>
  <si>
    <t>UNION SCHOOL DISTRICT</t>
  </si>
  <si>
    <t>WILLIAMSBURG</t>
  </si>
  <si>
    <t>WILLIAMSBURG SCHOOL DISTRICT</t>
  </si>
  <si>
    <t>YORK</t>
  </si>
  <si>
    <t>YORK DISTRICT 1</t>
  </si>
  <si>
    <t>YORK DISTRICT 2</t>
  </si>
  <si>
    <t>YORK DISTRICT 3</t>
  </si>
  <si>
    <t>YORK DISTRICT 4</t>
  </si>
  <si>
    <t>CONFIRM</t>
  </si>
  <si>
    <t>EXCLUSIONS - 4K, Adult Ed, National Boards, Teacher Supply, etc.</t>
  </si>
  <si>
    <t>Education Budget</t>
  </si>
  <si>
    <t>Property Tax Relief</t>
  </si>
  <si>
    <t>Difference Model - Actual</t>
  </si>
  <si>
    <t>Assessed Value (exc. Owner Occupied)</t>
  </si>
  <si>
    <t>Index without Owner Occupied (Rounded)</t>
  </si>
  <si>
    <t>Students Served under IDEA</t>
  </si>
  <si>
    <t>Specialized Education for Students Served Under IDEA</t>
  </si>
  <si>
    <t>Additional Specialized Resources</t>
  </si>
  <si>
    <t>Number of Providers</t>
  </si>
  <si>
    <t>Student/Provider Ratios:</t>
  </si>
  <si>
    <t>Students Requiring Specialized Education</t>
  </si>
  <si>
    <t>Specialized Education</t>
  </si>
  <si>
    <t>(Specialized Education and Speech Therapy)</t>
  </si>
  <si>
    <t>Additional Special Education for Students Served Under IDEA</t>
  </si>
  <si>
    <t>Measure: Student to Teacher Ratio</t>
  </si>
  <si>
    <t>Assumptions and Allocations - FY 2018-19</t>
  </si>
  <si>
    <t>Health Services</t>
  </si>
  <si>
    <t>Hold Harmless</t>
  </si>
  <si>
    <t>Health</t>
  </si>
  <si>
    <t>Classroom Teacher Counts</t>
  </si>
  <si>
    <t>Classroom Teacher: Professional Certified Staff: 03, 05, 06, 07, 08, 09, 17</t>
  </si>
  <si>
    <t>Guidance Counselors Cost</t>
  </si>
  <si>
    <t>Library/ Media Specialists</t>
  </si>
  <si>
    <t>Library/ Media Specialist Cost</t>
  </si>
  <si>
    <t>Career Specialist Cost</t>
  </si>
  <si>
    <t>Actual State Payments</t>
  </si>
  <si>
    <t>Positives:</t>
  </si>
  <si>
    <t>Negatives:</t>
  </si>
  <si>
    <t>Revised Local Share</t>
  </si>
  <si>
    <t>Additional Revenue</t>
  </si>
  <si>
    <t>State Percentage</t>
  </si>
  <si>
    <t>(All Other Providers)</t>
  </si>
  <si>
    <t>Classroom &amp; Specialized Instruction</t>
  </si>
  <si>
    <t>Bus Drivers</t>
  </si>
  <si>
    <t>per ADM</t>
  </si>
  <si>
    <t># District Staff</t>
  </si>
  <si>
    <t>Per number of teachers</t>
  </si>
  <si>
    <t>formula</t>
  </si>
  <si>
    <t>1 Per # of Teachers</t>
  </si>
  <si>
    <t>District Staff:</t>
  </si>
  <si>
    <t>Teacher threshhold for staff above min</t>
  </si>
  <si>
    <t>per pupil</t>
  </si>
  <si>
    <t>Cost</t>
  </si>
  <si>
    <t>Revised Funding with HH</t>
  </si>
  <si>
    <t>Difference Revised - Actual</t>
  </si>
  <si>
    <t>Facilities</t>
  </si>
  <si>
    <t>State Share</t>
  </si>
  <si>
    <t>Per ADM</t>
  </si>
  <si>
    <t>Average Daily Membership (ADM)</t>
  </si>
  <si>
    <t>Local/State Share Instruction</t>
  </si>
  <si>
    <t>Local/State Share Facilities</t>
  </si>
  <si>
    <t>Local/State Share District Services</t>
  </si>
  <si>
    <t>Social Workers</t>
  </si>
  <si>
    <t># of Social Workers:</t>
  </si>
  <si>
    <t>Library Aides</t>
  </si>
  <si>
    <t>Library Aide</t>
  </si>
  <si>
    <t>Library Aide Cost</t>
  </si>
  <si>
    <t>Nurses Cost</t>
  </si>
  <si>
    <t>Social Workers Cost</t>
  </si>
  <si>
    <t xml:space="preserve">Social Workers </t>
  </si>
  <si>
    <t>Psychologist</t>
  </si>
  <si>
    <t>Kindergarten Aides</t>
  </si>
  <si>
    <t>K teacher</t>
  </si>
  <si>
    <t>Custodial Services &amp; Staff</t>
  </si>
  <si>
    <t>Maintenance &amp; Staff</t>
  </si>
  <si>
    <t>Guidance Support Resources</t>
  </si>
  <si>
    <t>Inst</t>
  </si>
  <si>
    <t>Exclusions</t>
  </si>
  <si>
    <t>Regular District K5-12</t>
  </si>
  <si>
    <t>Special Education, FY 2018-19</t>
  </si>
  <si>
    <t>Other Specialized Instruction, FY 2018-19</t>
  </si>
  <si>
    <t xml:space="preserve">Special Education, FY 2018-19 </t>
  </si>
  <si>
    <t>Measure: Per Teacher</t>
  </si>
  <si>
    <t>District Staff Cost</t>
  </si>
  <si>
    <t>Sq. Ft</t>
  </si>
  <si>
    <t>% of Teacher Salary</t>
  </si>
  <si>
    <t>Salary</t>
  </si>
  <si>
    <t>Amount</t>
  </si>
  <si>
    <t>Classroom Materials &amp; Technology</t>
  </si>
  <si>
    <t>(Model: Allocation by Service Measurement)</t>
  </si>
  <si>
    <t>(One aide for every Kindergarten Teacher, see below)</t>
  </si>
  <si>
    <t>Program Directors &amp; Staff Formula</t>
  </si>
  <si>
    <t># Program Directors</t>
  </si>
  <si>
    <t>Program Directors Cost</t>
  </si>
  <si>
    <t>Superintendent Cost</t>
  </si>
  <si>
    <t>Min # Each</t>
  </si>
  <si>
    <t>Max # Each</t>
  </si>
  <si>
    <t>Program Directors (Student Srvcs, HR, Finance, etc)</t>
  </si>
  <si>
    <t>State $ Per Student Cost</t>
  </si>
  <si>
    <t>Residual State Cost</t>
  </si>
  <si>
    <t>Index with Factored Owner Occupied</t>
  </si>
  <si>
    <t>Imputed ITA</t>
  </si>
  <si>
    <t>Assessed Value (with Factored Owner Occupied)</t>
  </si>
  <si>
    <t>Millage Rate on Tax Base</t>
  </si>
  <si>
    <t>*Fringe calculated separately for personnel costs on salary amount</t>
  </si>
  <si>
    <t>School Staff (Attendance, Data Entry, etc.)</t>
  </si>
  <si>
    <t>FACILITIES</t>
  </si>
  <si>
    <t>INSTRUCTION</t>
  </si>
  <si>
    <t>N/A</t>
  </si>
  <si>
    <t>N/A - Requires additional data collection systems to measure and implement</t>
  </si>
  <si>
    <t>DISTRICT SERVICES</t>
  </si>
  <si>
    <t>Amount Per Sq. Ft.</t>
  </si>
  <si>
    <t>Guidance Counselor</t>
  </si>
  <si>
    <t>Guidance Resources</t>
  </si>
  <si>
    <t>Remaining Cost</t>
  </si>
  <si>
    <t>Equity Funding</t>
  </si>
  <si>
    <t>Per Student Funding</t>
  </si>
  <si>
    <t>Total State Funding</t>
  </si>
  <si>
    <t xml:space="preserve">Grades 9-12 Teacher Ratios, FY 2018-19 </t>
  </si>
  <si>
    <t>Kindergarten Teacher Ratios, FY 2018-19</t>
  </si>
  <si>
    <t xml:space="preserve">Grades 1-3 Teacher Ratios, FY 2018-19 </t>
  </si>
  <si>
    <t xml:space="preserve">Grades 4-6 Teacher Ratios, FY 2018-19 </t>
  </si>
  <si>
    <t>Grades 7-8 Teacher Ratios, FY 2018-19</t>
  </si>
  <si>
    <t>School Administrator Costs:</t>
  </si>
  <si>
    <t># of Library Aides:</t>
  </si>
  <si>
    <t>Classroom Materials &amp; Technology FY 2018-19</t>
  </si>
  <si>
    <t>Classroom Resources</t>
  </si>
  <si>
    <t>Total Instruction Costs - FY 2018-19</t>
  </si>
  <si>
    <t>Sq. Ft.</t>
  </si>
  <si>
    <t>Safety Personnel</t>
  </si>
  <si>
    <t xml:space="preserve">Custodial </t>
  </si>
  <si>
    <t>Custodial</t>
  </si>
  <si>
    <t>Transportation (Bus Drivers)</t>
  </si>
  <si>
    <t>Security &amp; Safety</t>
  </si>
  <si>
    <t>Transp.</t>
  </si>
  <si>
    <t>Facilities Costs - FY 2018-19</t>
  </si>
  <si>
    <t>District Services Costs - FY 2018-19</t>
  </si>
  <si>
    <t xml:space="preserve">Program Directors </t>
  </si>
  <si>
    <t>School Admin: Professional Certified Staff: 01, 02</t>
  </si>
  <si>
    <t>School Administrator</t>
  </si>
  <si>
    <t>Specialty Providers: Professional Certified Staff: 37, 38, 39, 40, 85; Districts may contract for these services - contract providers are not included in PCS</t>
  </si>
  <si>
    <t>Model  - Estimated Financial Impact on Local School Districts</t>
  </si>
  <si>
    <t>Option 1 (Lower State Share &amp; Distribute Remaining Funds for Hold Harmless) - Estimated Financial Impact on Local School Districts</t>
  </si>
  <si>
    <t>Difference State Share - Actual</t>
  </si>
  <si>
    <t>State / Local Share</t>
  </si>
  <si>
    <t>Hold Harmless Funding</t>
  </si>
  <si>
    <t>Revised State Funding with HH</t>
  </si>
  <si>
    <t>Option 4 (State Funds Instruction &amp; Facilities) - Estimated Financial Impact on Local School Districts</t>
  </si>
  <si>
    <t>Revised Millage Rate</t>
  </si>
  <si>
    <t>Local Millage Rate</t>
  </si>
  <si>
    <t>Option 3 (State Funding without Property Tax Relief &amp; No Facilities Costs) - Estimated Financial Impact on Local School Districts</t>
  </si>
  <si>
    <t>Total State Funding with HH</t>
  </si>
  <si>
    <t>Option 2 (Allocate $3,000 Per Student and Require 50% Local Support on Balance) - Estimated Financial Impact on Local School Districts</t>
  </si>
  <si>
    <t>Min:</t>
  </si>
  <si>
    <t>Max:</t>
  </si>
  <si>
    <t xml:space="preserve">Additional </t>
  </si>
  <si>
    <t>n/a</t>
  </si>
  <si>
    <t>Education Budget (Less Transp)</t>
  </si>
  <si>
    <t>Option 3</t>
  </si>
  <si>
    <t>County</t>
  </si>
  <si>
    <t>Option 3 Exclusions</t>
  </si>
  <si>
    <t>Difference in Terms of Millage</t>
  </si>
  <si>
    <t>Student/Teacher Ratios:</t>
  </si>
  <si>
    <t># of School Admin</t>
  </si>
  <si>
    <t>Comparison of Model Teacher, Instructional Staff, and School Administrator Counts to Actual</t>
  </si>
  <si>
    <t>2018 Index of Taxpaying Ability FY 2018-19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</si>
  <si>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</si>
  <si>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</si>
  <si>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</si>
  <si>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</si>
  <si>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</si>
  <si>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</si>
  <si>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</si>
  <si>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</si>
  <si>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</si>
  <si>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</si>
  <si>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</si>
  <si>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</si>
  <si>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</si>
  <si>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</si>
  <si>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</si>
  <si>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</si>
  <si>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</si>
  <si>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</si>
  <si>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</si>
  <si>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</si>
  <si>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</si>
  <si>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</si>
  <si>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</si>
  <si>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</si>
  <si>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</si>
  <si>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</si>
  <si>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</si>
  <si>
    <t>(28)</t>
  </si>
  <si>
    <t>(29)</t>
  </si>
  <si>
    <t>(30)</t>
  </si>
  <si>
    <t>(31)</t>
  </si>
  <si>
    <t>(32)</t>
  </si>
  <si>
    <t>(33)</t>
  </si>
  <si>
    <t>(34)</t>
  </si>
  <si>
    <t>(35)</t>
  </si>
  <si>
    <t>(36)</t>
  </si>
  <si>
    <t>(37)</t>
  </si>
  <si>
    <t>(38)</t>
  </si>
  <si>
    <t>(39)</t>
  </si>
  <si>
    <t>(40)</t>
  </si>
  <si>
    <t>(41)</t>
  </si>
  <si>
    <t>(42)</t>
  </si>
  <si>
    <t>(43)</t>
  </si>
  <si>
    <t>(44)</t>
  </si>
  <si>
    <t>(45)</t>
  </si>
  <si>
    <t>(46)</t>
  </si>
  <si>
    <t>(47)</t>
  </si>
  <si>
    <t>(48)</t>
  </si>
  <si>
    <t>(49)</t>
  </si>
  <si>
    <t>(50)</t>
  </si>
  <si>
    <t>(51)</t>
  </si>
  <si>
    <t>(52)</t>
  </si>
  <si>
    <t>(53)</t>
  </si>
  <si>
    <t>(54)</t>
  </si>
  <si>
    <t>(55)</t>
  </si>
  <si>
    <t>(56)</t>
  </si>
  <si>
    <t>(57)</t>
  </si>
  <si>
    <t>(58)</t>
  </si>
  <si>
    <t>(59)</t>
  </si>
  <si>
    <t>(60)</t>
  </si>
  <si>
    <t>(61)</t>
  </si>
  <si>
    <t>(62)</t>
  </si>
  <si>
    <t>(63)</t>
  </si>
  <si>
    <t>(64)</t>
  </si>
  <si>
    <t>(65)</t>
  </si>
  <si>
    <t>(66)</t>
  </si>
  <si>
    <t>(67)</t>
  </si>
  <si>
    <t>(68)</t>
  </si>
  <si>
    <t>(69)</t>
  </si>
  <si>
    <t>(70)</t>
  </si>
  <si>
    <t>(71)</t>
  </si>
  <si>
    <t>(72)</t>
  </si>
  <si>
    <t>(73)</t>
  </si>
  <si>
    <t>(74)</t>
  </si>
  <si>
    <t>(75)</t>
  </si>
  <si>
    <t>(76)</t>
  </si>
  <si>
    <t>(77)</t>
  </si>
  <si>
    <t>(78)</t>
  </si>
  <si>
    <t>(79)</t>
  </si>
  <si>
    <t>(80)</t>
  </si>
  <si>
    <t>(81)</t>
  </si>
  <si>
    <t>(82)</t>
  </si>
  <si>
    <t>(83)</t>
  </si>
  <si>
    <t>(84)</t>
  </si>
  <si>
    <t>(86)</t>
  </si>
  <si>
    <t>(87)</t>
  </si>
  <si>
    <t>(88)</t>
  </si>
  <si>
    <t>(89)</t>
  </si>
  <si>
    <t>(90)</t>
  </si>
  <si>
    <t>(91)</t>
  </si>
  <si>
    <t>(92)</t>
  </si>
  <si>
    <t>(93)</t>
  </si>
  <si>
    <t>(94)</t>
  </si>
  <si>
    <t>Kindergarten</t>
  </si>
  <si>
    <t>Grades 1- 3</t>
  </si>
  <si>
    <t>Special Education</t>
  </si>
  <si>
    <t>Special Education - Funding Model Goal - Requires New Data Collection</t>
  </si>
  <si>
    <t>Other Specialized Instruction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</si>
</sst>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0.0%"/>
    <numFmt numFmtId="167" formatCode="&quot;$&quot;#,##0.00"/>
    <numFmt numFmtId="168" formatCode="_(&quot;$&quot;* #,##0_);_(&quot;$&quot;* \(#,##0\);_(&quot;$&quot;* &quot;-&quot;??_);_(@_)"/>
    <numFmt numFmtId="169" formatCode="_(* #,##0.0000_);_(* \(#,##0.0000\);_(* &quot;-&quot;??_);_(@_)"/>
    <numFmt numFmtId="170" formatCode="_(* #,##0.000_);_(* \(#,##0.000\);_(* &quot;-&quot;??_);_(@_)"/>
    <numFmt numFmtId="171" formatCode="_(* #,##0.00000_);_(* \(#,##0.00000\);_(* &quot;-&quot;??_);_(@_)"/>
    <numFmt numFmtId="172" formatCode="0.000000"/>
    <numFmt numFmtId="173" formatCode="0.00000"/>
    <numFmt numFmtId="174" formatCode="#,##0.0"/>
    <numFmt numFmtId="175" formatCode="0%;[Red]\(0%\)"/>
    <numFmt numFmtId="176" formatCode="_(* #,##0.0_);_(* \(#,##0.0\);_(* &quot;-&quot;??_);_(@_)"/>
    <numFmt numFmtId="177" formatCode="#,##0.0_);[Red]\(#,##0.0\)"/>
    <numFmt numFmtId="178" formatCode="&quot;$&quot;#,##0.0"/>
    <numFmt numFmtId="179" formatCode="0.0000%"/>
    <numFmt numFmtId="180" formatCode="0.000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44" fontId="1" fillId="0" borderId="0" applyFont="0" applyFill="0" applyBorder="0" applyAlignment="0" applyProtection="0"/>
  </cellStyleXfs>
  <cellXfs count="931">
    <xf numFmtId="0" fontId="0" fillId="0" borderId="0" xfId="0"/>
    <xf numFmtId="0" fontId="0" fillId="0" borderId="0" xfId="0" applyFill="1"/>
    <xf numFmtId="164" fontId="0" fillId="0" borderId="0" xfId="1" applyNumberFormat="1" applyFont="1"/>
    <xf numFmtId="0" fontId="8" fillId="0" borderId="0" xfId="0" applyFont="1"/>
    <xf numFmtId="0" fontId="10" fillId="0" borderId="0" xfId="3" applyFont="1"/>
    <xf numFmtId="164" fontId="3" fillId="0" borderId="27" xfId="1" applyNumberFormat="1" applyFont="1" applyFill="1" applyBorder="1"/>
    <xf numFmtId="1" fontId="3" fillId="0" borderId="27" xfId="0" applyNumberFormat="1" applyFont="1" applyFill="1" applyBorder="1"/>
    <xf numFmtId="164" fontId="3" fillId="0" borderId="4" xfId="1" applyNumberFormat="1" applyFont="1" applyFill="1" applyBorder="1"/>
    <xf numFmtId="164" fontId="3" fillId="0" borderId="10" xfId="0" applyNumberFormat="1" applyFont="1" applyFill="1" applyBorder="1"/>
    <xf numFmtId="165" fontId="8" fillId="0" borderId="9" xfId="0" applyNumberFormat="1" applyFont="1" applyBorder="1"/>
    <xf numFmtId="0" fontId="12" fillId="0" borderId="23" xfId="0" applyFont="1" applyFill="1" applyBorder="1"/>
    <xf numFmtId="0" fontId="12" fillId="0" borderId="26" xfId="0" applyFont="1" applyFill="1" applyBorder="1"/>
    <xf numFmtId="165" fontId="0" fillId="0" borderId="29" xfId="0" applyNumberFormat="1" applyFill="1" applyBorder="1" applyAlignment="1">
      <alignment horizontal="right"/>
    </xf>
    <xf numFmtId="164" fontId="3" fillId="0" borderId="3" xfId="1" applyNumberFormat="1" applyFont="1" applyFill="1" applyBorder="1"/>
    <xf numFmtId="10" fontId="3" fillId="0" borderId="3" xfId="2" applyNumberFormat="1" applyFont="1" applyFill="1" applyBorder="1"/>
    <xf numFmtId="0" fontId="9" fillId="0" borderId="4" xfId="0" applyFont="1" applyFill="1" applyBorder="1"/>
    <xf numFmtId="164" fontId="9" fillId="0" borderId="12" xfId="1" applyNumberFormat="1" applyFont="1" applyFill="1" applyBorder="1"/>
    <xf numFmtId="10" fontId="9" fillId="0" borderId="6" xfId="2" applyNumberFormat="1" applyFont="1" applyFill="1" applyBorder="1"/>
    <xf numFmtId="164" fontId="9" fillId="0" borderId="11" xfId="0" applyNumberFormat="1" applyFont="1" applyFill="1" applyBorder="1"/>
    <xf numFmtId="164" fontId="9" fillId="0" borderId="6" xfId="0" applyNumberFormat="1" applyFont="1" applyFill="1" applyBorder="1"/>
    <xf numFmtId="164" fontId="9" fillId="0" borderId="6" xfId="1" applyNumberFormat="1" applyFont="1" applyFill="1" applyBorder="1"/>
    <xf numFmtId="165" fontId="8" fillId="0" borderId="9" xfId="0" applyNumberFormat="1" applyFont="1" applyFill="1" applyBorder="1"/>
    <xf numFmtId="0" fontId="3" fillId="0" borderId="0" xfId="0" applyFont="1" applyFill="1" applyBorder="1"/>
    <xf numFmtId="165" fontId="9" fillId="0" borderId="5" xfId="0" applyNumberFormat="1" applyFont="1" applyFill="1" applyBorder="1"/>
    <xf numFmtId="0" fontId="0" fillId="0" borderId="0" xfId="0" applyFill="1" applyBorder="1"/>
    <xf numFmtId="165" fontId="0" fillId="0" borderId="0" xfId="5" applyNumberFormat="1" applyFont="1" applyFill="1" applyBorder="1"/>
    <xf numFmtId="165" fontId="3" fillId="0" borderId="46" xfId="0" applyNumberFormat="1" applyFont="1" applyFill="1" applyBorder="1"/>
    <xf numFmtId="165" fontId="0" fillId="0" borderId="29" xfId="0" applyNumberFormat="1" applyFill="1" applyBorder="1"/>
    <xf numFmtId="0" fontId="0" fillId="0" borderId="0" xfId="0" applyFill="1" applyAlignment="1">
      <alignment horizontal="right"/>
    </xf>
    <xf numFmtId="164" fontId="3" fillId="0" borderId="11" xfId="0" applyNumberFormat="1" applyFont="1" applyFill="1" applyBorder="1"/>
    <xf numFmtId="0" fontId="3" fillId="0" borderId="51" xfId="0" applyFont="1" applyFill="1" applyBorder="1"/>
    <xf numFmtId="165" fontId="0" fillId="0" borderId="29" xfId="0" applyNumberFormat="1" applyBorder="1"/>
    <xf numFmtId="0" fontId="2" fillId="0" borderId="0" xfId="0" applyFont="1" applyFill="1" applyBorder="1" applyAlignment="1">
      <alignment vertical="center" wrapText="1"/>
    </xf>
    <xf numFmtId="0" fontId="12" fillId="0" borderId="0" xfId="0" applyFont="1" applyFill="1" applyAlignment="1"/>
    <xf numFmtId="165" fontId="11" fillId="0" borderId="0" xfId="5" applyNumberFormat="1" applyFont="1" applyFill="1" applyBorder="1"/>
    <xf numFmtId="0" fontId="12" fillId="0" borderId="0" xfId="0" applyFont="1" applyFill="1" applyBorder="1"/>
    <xf numFmtId="9" fontId="12" fillId="0" borderId="17" xfId="0" applyNumberFormat="1" applyFont="1" applyFill="1" applyBorder="1" applyAlignment="1">
      <alignment wrapText="1"/>
    </xf>
    <xf numFmtId="165" fontId="12" fillId="0" borderId="23" xfId="5" applyNumberFormat="1" applyFont="1" applyFill="1" applyBorder="1"/>
    <xf numFmtId="0" fontId="5" fillId="0" borderId="0" xfId="0" applyFont="1"/>
    <xf numFmtId="164" fontId="3" fillId="0" borderId="51" xfId="1" applyNumberFormat="1" applyFont="1" applyFill="1" applyBorder="1"/>
    <xf numFmtId="0" fontId="3" fillId="0" borderId="34" xfId="0" applyFont="1" applyFill="1" applyBorder="1"/>
    <xf numFmtId="0" fontId="3" fillId="0" borderId="29" xfId="0" applyFont="1" applyFill="1" applyBorder="1"/>
    <xf numFmtId="9" fontId="12" fillId="0" borderId="17" xfId="2" applyFont="1" applyFill="1" applyBorder="1" applyAlignment="1">
      <alignment horizontal="center" vertical="center"/>
    </xf>
    <xf numFmtId="165" fontId="12" fillId="0" borderId="23" xfId="0" applyNumberFormat="1" applyFont="1" applyFill="1" applyBorder="1"/>
    <xf numFmtId="165" fontId="12" fillId="0" borderId="26" xfId="0" applyNumberFormat="1" applyFont="1" applyFill="1" applyBorder="1"/>
    <xf numFmtId="43" fontId="0" fillId="0" borderId="0" xfId="1" applyFont="1"/>
    <xf numFmtId="164" fontId="0" fillId="0" borderId="0" xfId="0" applyNumberFormat="1"/>
    <xf numFmtId="3" fontId="0" fillId="0" borderId="10" xfId="0" applyNumberFormat="1" applyBorder="1"/>
    <xf numFmtId="164" fontId="3" fillId="0" borderId="36" xfId="1" applyNumberFormat="1" applyFont="1" applyFill="1" applyBorder="1"/>
    <xf numFmtId="164" fontId="3" fillId="0" borderId="39" xfId="1" applyNumberFormat="1" applyFont="1" applyFill="1" applyBorder="1"/>
    <xf numFmtId="164" fontId="9" fillId="0" borderId="39" xfId="0" applyNumberFormat="1" applyFont="1" applyFill="1" applyBorder="1"/>
    <xf numFmtId="10" fontId="3" fillId="0" borderId="46" xfId="2" applyNumberFormat="1" applyFont="1" applyFill="1" applyBorder="1"/>
    <xf numFmtId="10" fontId="3" fillId="0" borderId="27" xfId="2" applyNumberFormat="1" applyFont="1" applyFill="1" applyBorder="1"/>
    <xf numFmtId="10" fontId="9" fillId="0" borderId="5" xfId="2" applyNumberFormat="1" applyFont="1" applyFill="1" applyBorder="1"/>
    <xf numFmtId="164" fontId="0" fillId="0" borderId="3" xfId="1" applyNumberFormat="1" applyFont="1" applyBorder="1"/>
    <xf numFmtId="165" fontId="0" fillId="0" borderId="3" xfId="5" applyNumberFormat="1" applyFont="1" applyBorder="1"/>
    <xf numFmtId="5" fontId="0" fillId="0" borderId="3" xfId="0" applyNumberFormat="1" applyBorder="1"/>
    <xf numFmtId="0" fontId="2" fillId="0" borderId="28" xfId="0" applyFont="1" applyBorder="1" applyAlignment="1">
      <alignment horizontal="center" vertical="center" wrapText="1"/>
    </xf>
    <xf numFmtId="165" fontId="0" fillId="0" borderId="10" xfId="5" applyNumberFormat="1" applyFont="1" applyBorder="1"/>
    <xf numFmtId="164" fontId="8" fillId="0" borderId="12" xfId="1" applyNumberFormat="1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5" fillId="0" borderId="0" xfId="0" applyFont="1"/>
    <xf numFmtId="0" fontId="16" fillId="0" borderId="0" xfId="0" applyFont="1" applyFill="1" applyBorder="1" applyAlignment="1">
      <alignment horizontal="center"/>
    </xf>
    <xf numFmtId="164" fontId="3" fillId="0" borderId="10" xfId="1" applyNumberFormat="1" applyFont="1" applyFill="1" applyBorder="1"/>
    <xf numFmtId="3" fontId="12" fillId="0" borderId="0" xfId="0" applyNumberFormat="1" applyFont="1" applyFill="1" applyBorder="1" applyAlignment="1">
      <alignment horizontal="center" wrapText="1"/>
    </xf>
    <xf numFmtId="166" fontId="12" fillId="0" borderId="17" xfId="2" applyNumberFormat="1" applyFont="1" applyFill="1" applyBorder="1" applyAlignment="1">
      <alignment horizontal="center" vertical="center"/>
    </xf>
    <xf numFmtId="43" fontId="5" fillId="0" borderId="0" xfId="0" applyNumberFormat="1" applyFont="1"/>
    <xf numFmtId="169" fontId="5" fillId="0" borderId="0" xfId="0" applyNumberFormat="1" applyFont="1"/>
    <xf numFmtId="164" fontId="3" fillId="0" borderId="44" xfId="1" applyNumberFormat="1" applyFont="1" applyFill="1" applyBorder="1"/>
    <xf numFmtId="0" fontId="2" fillId="0" borderId="48" xfId="0" applyFont="1" applyBorder="1" applyAlignment="1">
      <alignment horizontal="center" vertical="center" wrapText="1"/>
    </xf>
    <xf numFmtId="171" fontId="10" fillId="0" borderId="0" xfId="1" applyNumberFormat="1" applyFont="1"/>
    <xf numFmtId="171" fontId="0" fillId="0" borderId="0" xfId="1" applyNumberFormat="1" applyFont="1"/>
    <xf numFmtId="171" fontId="0" fillId="0" borderId="10" xfId="1" applyNumberFormat="1" applyFont="1" applyBorder="1"/>
    <xf numFmtId="172" fontId="0" fillId="0" borderId="0" xfId="0" applyNumberFormat="1"/>
    <xf numFmtId="173" fontId="0" fillId="0" borderId="0" xfId="0" applyNumberFormat="1"/>
    <xf numFmtId="165" fontId="5" fillId="0" borderId="4" xfId="0" applyNumberFormat="1" applyFont="1" applyBorder="1"/>
    <xf numFmtId="0" fontId="2" fillId="0" borderId="20" xfId="0" applyFont="1" applyBorder="1" applyAlignment="1">
      <alignment horizontal="center" vertical="center" wrapText="1"/>
    </xf>
    <xf numFmtId="164" fontId="0" fillId="0" borderId="10" xfId="1" applyNumberFormat="1" applyFont="1" applyBorder="1"/>
    <xf numFmtId="9" fontId="5" fillId="0" borderId="27" xfId="2" applyFont="1" applyBorder="1"/>
    <xf numFmtId="0" fontId="5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2" fillId="0" borderId="0" xfId="0" applyFont="1"/>
    <xf numFmtId="0" fontId="0" fillId="0" borderId="0" xfId="0" applyFont="1"/>
    <xf numFmtId="171" fontId="2" fillId="0" borderId="28" xfId="1" applyNumberFormat="1" applyFont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170" fontId="5" fillId="0" borderId="0" xfId="0" applyNumberFormat="1" applyFont="1"/>
    <xf numFmtId="43" fontId="0" fillId="3" borderId="0" xfId="1" applyFont="1" applyFill="1"/>
    <xf numFmtId="43" fontId="5" fillId="0" borderId="0" xfId="1" applyFont="1"/>
    <xf numFmtId="43" fontId="5" fillId="3" borderId="0" xfId="1" applyFont="1" applyFill="1"/>
    <xf numFmtId="164" fontId="16" fillId="3" borderId="0" xfId="1" applyNumberFormat="1" applyFont="1" applyFill="1" applyAlignment="1">
      <alignment horizontal="center"/>
    </xf>
    <xf numFmtId="164" fontId="5" fillId="0" borderId="0" xfId="1" applyNumberFormat="1" applyFont="1"/>
    <xf numFmtId="43" fontId="16" fillId="0" borderId="0" xfId="1" applyFont="1" applyAlignment="1"/>
    <xf numFmtId="3" fontId="0" fillId="0" borderId="37" xfId="0" applyNumberFormat="1" applyBorder="1"/>
    <xf numFmtId="10" fontId="3" fillId="0" borderId="35" xfId="2" applyNumberFormat="1" applyFont="1" applyFill="1" applyBorder="1"/>
    <xf numFmtId="164" fontId="3" fillId="0" borderId="37" xfId="0" applyNumberFormat="1" applyFont="1" applyFill="1" applyBorder="1"/>
    <xf numFmtId="164" fontId="3" fillId="0" borderId="58" xfId="1" applyNumberFormat="1" applyFont="1" applyFill="1" applyBorder="1"/>
    <xf numFmtId="165" fontId="0" fillId="0" borderId="34" xfId="0" applyNumberFormat="1" applyFill="1" applyBorder="1" applyAlignment="1">
      <alignment horizontal="right"/>
    </xf>
    <xf numFmtId="0" fontId="8" fillId="0" borderId="55" xfId="0" applyFont="1" applyBorder="1"/>
    <xf numFmtId="0" fontId="8" fillId="0" borderId="1" xfId="0" applyFont="1" applyBorder="1"/>
    <xf numFmtId="0" fontId="8" fillId="0" borderId="2" xfId="0" applyFont="1" applyBorder="1"/>
    <xf numFmtId="164" fontId="8" fillId="0" borderId="11" xfId="1" applyNumberFormat="1" applyFont="1" applyBorder="1"/>
    <xf numFmtId="0" fontId="2" fillId="0" borderId="2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6" fontId="0" fillId="0" borderId="0" xfId="0" applyNumberFormat="1"/>
    <xf numFmtId="176" fontId="0" fillId="0" borderId="3" xfId="1" applyNumberFormat="1" applyFont="1" applyBorder="1"/>
    <xf numFmtId="176" fontId="0" fillId="0" borderId="0" xfId="1" applyNumberFormat="1" applyFont="1"/>
    <xf numFmtId="176" fontId="0" fillId="0" borderId="10" xfId="1" applyNumberFormat="1" applyFont="1" applyBorder="1"/>
    <xf numFmtId="176" fontId="8" fillId="0" borderId="11" xfId="1" applyNumberFormat="1" applyFont="1" applyBorder="1"/>
    <xf numFmtId="38" fontId="0" fillId="0" borderId="27" xfId="0" applyNumberFormat="1" applyBorder="1"/>
    <xf numFmtId="3" fontId="0" fillId="0" borderId="29" xfId="0" applyNumberFormat="1" applyBorder="1"/>
    <xf numFmtId="3" fontId="8" fillId="0" borderId="9" xfId="0" applyNumberFormat="1" applyFont="1" applyBorder="1"/>
    <xf numFmtId="0" fontId="8" fillId="0" borderId="5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6" fontId="8" fillId="0" borderId="12" xfId="0" applyNumberFormat="1" applyFont="1" applyBorder="1"/>
    <xf numFmtId="177" fontId="0" fillId="0" borderId="27" xfId="0" applyNumberFormat="1" applyBorder="1"/>
    <xf numFmtId="177" fontId="8" fillId="0" borderId="5" xfId="0" applyNumberFormat="1" applyFont="1" applyBorder="1"/>
    <xf numFmtId="0" fontId="8" fillId="0" borderId="58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176" fontId="8" fillId="0" borderId="37" xfId="1" applyNumberFormat="1" applyFont="1" applyBorder="1" applyAlignment="1">
      <alignment horizontal="center" vertical="center"/>
    </xf>
    <xf numFmtId="176" fontId="8" fillId="0" borderId="58" xfId="0" applyNumberFormat="1" applyFont="1" applyBorder="1" applyAlignment="1">
      <alignment horizontal="center" vertical="center" wrapText="1"/>
    </xf>
    <xf numFmtId="0" fontId="0" fillId="0" borderId="29" xfId="0" applyBorder="1"/>
    <xf numFmtId="176" fontId="0" fillId="0" borderId="29" xfId="0" applyNumberFormat="1" applyBorder="1"/>
    <xf numFmtId="0" fontId="0" fillId="4" borderId="29" xfId="0" applyFill="1" applyBorder="1"/>
    <xf numFmtId="3" fontId="0" fillId="4" borderId="10" xfId="0" applyNumberFormat="1" applyFill="1" applyBorder="1"/>
    <xf numFmtId="171" fontId="0" fillId="4" borderId="10" xfId="1" applyNumberFormat="1" applyFont="1" applyFill="1" applyBorder="1"/>
    <xf numFmtId="165" fontId="0" fillId="4" borderId="10" xfId="5" applyNumberFormat="1" applyFont="1" applyFill="1" applyBorder="1"/>
    <xf numFmtId="5" fontId="0" fillId="4" borderId="3" xfId="0" applyNumberFormat="1" applyFill="1" applyBorder="1"/>
    <xf numFmtId="165" fontId="0" fillId="4" borderId="3" xfId="5" applyNumberFormat="1" applyFont="1" applyFill="1" applyBorder="1"/>
    <xf numFmtId="165" fontId="5" fillId="4" borderId="4" xfId="0" applyNumberFormat="1" applyFont="1" applyFill="1" applyBorder="1"/>
    <xf numFmtId="9" fontId="5" fillId="4" borderId="27" xfId="2" applyFont="1" applyFill="1" applyBorder="1"/>
    <xf numFmtId="0" fontId="0" fillId="4" borderId="0" xfId="0" applyFill="1"/>
    <xf numFmtId="176" fontId="0" fillId="4" borderId="29" xfId="0" applyNumberFormat="1" applyFill="1" applyBorder="1"/>
    <xf numFmtId="0" fontId="8" fillId="0" borderId="28" xfId="0" applyFont="1" applyBorder="1" applyAlignment="1">
      <alignment horizontal="center" vertical="center"/>
    </xf>
    <xf numFmtId="165" fontId="0" fillId="0" borderId="37" xfId="5" applyNumberFormat="1" applyFont="1" applyBorder="1"/>
    <xf numFmtId="5" fontId="0" fillId="0" borderId="35" xfId="0" applyNumberFormat="1" applyBorder="1"/>
    <xf numFmtId="165" fontId="0" fillId="0" borderId="35" xfId="5" applyNumberFormat="1" applyFont="1" applyBorder="1"/>
    <xf numFmtId="165" fontId="5" fillId="0" borderId="58" xfId="0" applyNumberFormat="1" applyFont="1" applyBorder="1"/>
    <xf numFmtId="0" fontId="0" fillId="0" borderId="60" xfId="0" applyBorder="1"/>
    <xf numFmtId="3" fontId="0" fillId="0" borderId="61" xfId="0" applyNumberFormat="1" applyBorder="1"/>
    <xf numFmtId="171" fontId="0" fillId="0" borderId="61" xfId="1" applyNumberFormat="1" applyFont="1" applyBorder="1"/>
    <xf numFmtId="165" fontId="0" fillId="0" borderId="53" xfId="5" applyNumberFormat="1" applyFont="1" applyBorder="1"/>
    <xf numFmtId="5" fontId="0" fillId="0" borderId="54" xfId="0" applyNumberFormat="1" applyBorder="1"/>
    <xf numFmtId="165" fontId="0" fillId="0" borderId="54" xfId="5" applyNumberFormat="1" applyFont="1" applyBorder="1"/>
    <xf numFmtId="165" fontId="5" fillId="0" borderId="62" xfId="0" applyNumberFormat="1" applyFont="1" applyBorder="1"/>
    <xf numFmtId="9" fontId="5" fillId="0" borderId="64" xfId="2" applyFont="1" applyBorder="1"/>
    <xf numFmtId="176" fontId="0" fillId="0" borderId="60" xfId="0" applyNumberFormat="1" applyBorder="1"/>
    <xf numFmtId="0" fontId="8" fillId="0" borderId="28" xfId="0" applyFont="1" applyBorder="1"/>
    <xf numFmtId="3" fontId="8" fillId="0" borderId="56" xfId="0" applyNumberFormat="1" applyFont="1" applyBorder="1"/>
    <xf numFmtId="171" fontId="8" fillId="0" borderId="56" xfId="1" applyNumberFormat="1" applyFont="1" applyBorder="1"/>
    <xf numFmtId="165" fontId="8" fillId="0" borderId="56" xfId="5" applyNumberFormat="1" applyFont="1" applyBorder="1"/>
    <xf numFmtId="5" fontId="8" fillId="0" borderId="59" xfId="0" applyNumberFormat="1" applyFont="1" applyBorder="1"/>
    <xf numFmtId="165" fontId="8" fillId="0" borderId="59" xfId="5" applyNumberFormat="1" applyFont="1" applyBorder="1"/>
    <xf numFmtId="165" fontId="2" fillId="0" borderId="65" xfId="0" applyNumberFormat="1" applyFont="1" applyBorder="1"/>
    <xf numFmtId="165" fontId="8" fillId="0" borderId="56" xfId="0" applyNumberFormat="1" applyFont="1" applyBorder="1"/>
    <xf numFmtId="165" fontId="2" fillId="0" borderId="59" xfId="0" applyNumberFormat="1" applyFont="1" applyBorder="1"/>
    <xf numFmtId="9" fontId="2" fillId="0" borderId="57" xfId="2" applyFont="1" applyBorder="1"/>
    <xf numFmtId="0" fontId="8" fillId="0" borderId="21" xfId="0" applyFont="1" applyBorder="1"/>
    <xf numFmtId="168" fontId="8" fillId="0" borderId="56" xfId="5" applyNumberFormat="1" applyFont="1" applyBorder="1"/>
    <xf numFmtId="168" fontId="8" fillId="0" borderId="59" xfId="5" applyNumberFormat="1" applyFont="1" applyBorder="1"/>
    <xf numFmtId="176" fontId="8" fillId="0" borderId="28" xfId="0" applyNumberFormat="1" applyFont="1" applyBorder="1"/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171" fontId="8" fillId="0" borderId="8" xfId="1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0" fillId="0" borderId="34" xfId="0" applyBorder="1"/>
    <xf numFmtId="171" fontId="0" fillId="0" borderId="37" xfId="1" applyNumberFormat="1" applyFont="1" applyBorder="1"/>
    <xf numFmtId="9" fontId="5" fillId="0" borderId="46" xfId="2" applyFont="1" applyBorder="1"/>
    <xf numFmtId="176" fontId="0" fillId="0" borderId="34" xfId="0" applyNumberFormat="1" applyBorder="1"/>
    <xf numFmtId="0" fontId="8" fillId="0" borderId="20" xfId="0" applyFont="1" applyBorder="1" applyAlignment="1">
      <alignment horizontal="center" vertical="center" wrapText="1"/>
    </xf>
    <xf numFmtId="171" fontId="8" fillId="0" borderId="20" xfId="1" applyNumberFormat="1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9" fontId="2" fillId="0" borderId="57" xfId="0" applyNumberFormat="1" applyFont="1" applyBorder="1"/>
    <xf numFmtId="0" fontId="8" fillId="0" borderId="56" xfId="0" applyFont="1" applyBorder="1"/>
    <xf numFmtId="0" fontId="8" fillId="0" borderId="59" xfId="0" applyFont="1" applyBorder="1"/>
    <xf numFmtId="0" fontId="8" fillId="0" borderId="57" xfId="0" applyFont="1" applyBorder="1"/>
    <xf numFmtId="6" fontId="0" fillId="0" borderId="27" xfId="0" applyNumberFormat="1" applyBorder="1"/>
    <xf numFmtId="6" fontId="0" fillId="4" borderId="27" xfId="0" applyNumberFormat="1" applyFill="1" applyBorder="1"/>
    <xf numFmtId="6" fontId="0" fillId="0" borderId="64" xfId="0" applyNumberFormat="1" applyBorder="1"/>
    <xf numFmtId="6" fontId="8" fillId="0" borderId="57" xfId="0" applyNumberFormat="1" applyFont="1" applyBorder="1"/>
    <xf numFmtId="42" fontId="8" fillId="0" borderId="56" xfId="5" applyNumberFormat="1" applyFont="1" applyBorder="1"/>
    <xf numFmtId="42" fontId="8" fillId="0" borderId="59" xfId="0" applyNumberFormat="1" applyFont="1" applyBorder="1"/>
    <xf numFmtId="42" fontId="8" fillId="0" borderId="59" xfId="5" applyNumberFormat="1" applyFont="1" applyBorder="1"/>
    <xf numFmtId="168" fontId="1" fillId="0" borderId="10" xfId="5" applyNumberFormat="1" applyFont="1" applyBorder="1"/>
    <xf numFmtId="168" fontId="1" fillId="0" borderId="3" xfId="5" applyNumberFormat="1" applyFont="1" applyBorder="1"/>
    <xf numFmtId="168" fontId="0" fillId="0" borderId="3" xfId="0" applyNumberFormat="1" applyFont="1" applyBorder="1"/>
    <xf numFmtId="168" fontId="1" fillId="4" borderId="10" xfId="5" applyNumberFormat="1" applyFont="1" applyFill="1" applyBorder="1"/>
    <xf numFmtId="168" fontId="1" fillId="4" borderId="3" xfId="5" applyNumberFormat="1" applyFont="1" applyFill="1" applyBorder="1"/>
    <xf numFmtId="168" fontId="0" fillId="4" borderId="3" xfId="0" applyNumberFormat="1" applyFont="1" applyFill="1" applyBorder="1"/>
    <xf numFmtId="168" fontId="1" fillId="0" borderId="61" xfId="5" applyNumberFormat="1" applyFont="1" applyBorder="1"/>
    <xf numFmtId="168" fontId="1" fillId="0" borderId="63" xfId="5" applyNumberFormat="1" applyFont="1" applyBorder="1"/>
    <xf numFmtId="168" fontId="0" fillId="0" borderId="63" xfId="0" applyNumberFormat="1" applyFont="1" applyBorder="1"/>
    <xf numFmtId="38" fontId="8" fillId="0" borderId="57" xfId="0" applyNumberFormat="1" applyFont="1" applyBorder="1"/>
    <xf numFmtId="0" fontId="8" fillId="0" borderId="42" xfId="0" applyFont="1" applyBorder="1"/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176" fontId="3" fillId="0" borderId="58" xfId="0" applyNumberFormat="1" applyFont="1" applyFill="1" applyBorder="1"/>
    <xf numFmtId="164" fontId="8" fillId="0" borderId="37" xfId="1" applyNumberFormat="1" applyFont="1" applyBorder="1" applyAlignment="1">
      <alignment horizontal="center" vertical="center"/>
    </xf>
    <xf numFmtId="38" fontId="0" fillId="0" borderId="0" xfId="0" applyNumberFormat="1"/>
    <xf numFmtId="38" fontId="8" fillId="0" borderId="46" xfId="0" applyNumberFormat="1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176" fontId="0" fillId="0" borderId="0" xfId="0" applyNumberFormat="1"/>
    <xf numFmtId="0" fontId="13" fillId="0" borderId="0" xfId="0" applyFont="1" applyFill="1"/>
    <xf numFmtId="0" fontId="5" fillId="0" borderId="0" xfId="0" applyFont="1" applyFill="1"/>
    <xf numFmtId="166" fontId="0" fillId="0" borderId="0" xfId="0" applyNumberFormat="1" applyFill="1"/>
    <xf numFmtId="164" fontId="0" fillId="0" borderId="0" xfId="0" applyNumberFormat="1" applyFill="1"/>
    <xf numFmtId="0" fontId="12" fillId="0" borderId="18" xfId="0" applyFont="1" applyFill="1" applyBorder="1"/>
    <xf numFmtId="0" fontId="12" fillId="0" borderId="18" xfId="0" applyFont="1" applyFill="1" applyBorder="1" applyAlignment="1">
      <alignment wrapText="1"/>
    </xf>
    <xf numFmtId="0" fontId="12" fillId="0" borderId="24" xfId="0" applyFont="1" applyFill="1" applyBorder="1"/>
    <xf numFmtId="165" fontId="12" fillId="0" borderId="0" xfId="0" applyNumberFormat="1" applyFont="1" applyFill="1" applyBorder="1"/>
    <xf numFmtId="3" fontId="12" fillId="0" borderId="17" xfId="0" applyNumberFormat="1" applyFont="1" applyFill="1" applyBorder="1" applyAlignment="1">
      <alignment horizontal="center"/>
    </xf>
    <xf numFmtId="3" fontId="12" fillId="0" borderId="26" xfId="0" applyNumberFormat="1" applyFont="1" applyFill="1" applyBorder="1" applyAlignment="1">
      <alignment horizontal="center"/>
    </xf>
    <xf numFmtId="10" fontId="12" fillId="0" borderId="0" xfId="0" applyNumberFormat="1" applyFont="1" applyFill="1" applyBorder="1"/>
    <xf numFmtId="166" fontId="12" fillId="0" borderId="0" xfId="0" applyNumberFormat="1" applyFont="1" applyFill="1" applyBorder="1"/>
    <xf numFmtId="3" fontId="0" fillId="0" borderId="10" xfId="0" applyNumberFormat="1" applyFill="1" applyBorder="1"/>
    <xf numFmtId="165" fontId="0" fillId="0" borderId="3" xfId="0" applyNumberFormat="1" applyFill="1" applyBorder="1"/>
    <xf numFmtId="164" fontId="0" fillId="0" borderId="3" xfId="1" applyNumberFormat="1" applyFont="1" applyFill="1" applyBorder="1"/>
    <xf numFmtId="165" fontId="0" fillId="0" borderId="27" xfId="0" applyNumberFormat="1" applyFill="1" applyBorder="1"/>
    <xf numFmtId="3" fontId="8" fillId="0" borderId="11" xfId="0" applyNumberFormat="1" applyFont="1" applyFill="1" applyBorder="1"/>
    <xf numFmtId="164" fontId="9" fillId="0" borderId="7" xfId="1" applyNumberFormat="1" applyFont="1" applyFill="1" applyBorder="1"/>
    <xf numFmtId="164" fontId="9" fillId="0" borderId="11" xfId="1" applyNumberFormat="1" applyFont="1" applyFill="1" applyBorder="1"/>
    <xf numFmtId="165" fontId="8" fillId="0" borderId="12" xfId="0" applyNumberFormat="1" applyFont="1" applyFill="1" applyBorder="1"/>
    <xf numFmtId="164" fontId="8" fillId="0" borderId="12" xfId="1" applyNumberFormat="1" applyFont="1" applyFill="1" applyBorder="1"/>
    <xf numFmtId="165" fontId="8" fillId="0" borderId="5" xfId="0" applyNumberFormat="1" applyFont="1" applyFill="1" applyBorder="1"/>
    <xf numFmtId="0" fontId="10" fillId="0" borderId="0" xfId="3" applyFont="1" applyFill="1"/>
    <xf numFmtId="164" fontId="0" fillId="0" borderId="0" xfId="1" applyNumberFormat="1" applyFont="1" applyFill="1"/>
    <xf numFmtId="10" fontId="12" fillId="0" borderId="0" xfId="0" applyNumberFormat="1" applyFont="1" applyFill="1"/>
    <xf numFmtId="3" fontId="0" fillId="0" borderId="37" xfId="0" applyNumberFormat="1" applyFill="1" applyBorder="1"/>
    <xf numFmtId="3" fontId="0" fillId="0" borderId="35" xfId="0" applyNumberFormat="1" applyFill="1" applyBorder="1"/>
    <xf numFmtId="164" fontId="3" fillId="0" borderId="37" xfId="0" applyNumberFormat="1" applyFont="1" applyFill="1" applyBorder="1" applyAlignment="1">
      <alignment horizontal="right"/>
    </xf>
    <xf numFmtId="176" fontId="3" fillId="0" borderId="46" xfId="1" applyNumberFormat="1" applyFont="1" applyFill="1" applyBorder="1"/>
    <xf numFmtId="3" fontId="0" fillId="0" borderId="3" xfId="0" applyNumberFormat="1" applyFill="1" applyBorder="1"/>
    <xf numFmtId="164" fontId="3" fillId="0" borderId="10" xfId="0" applyNumberFormat="1" applyFont="1" applyFill="1" applyBorder="1" applyAlignment="1">
      <alignment horizontal="right"/>
    </xf>
    <xf numFmtId="3" fontId="8" fillId="0" borderId="12" xfId="0" applyNumberFormat="1" applyFont="1" applyFill="1" applyBorder="1"/>
    <xf numFmtId="164" fontId="3" fillId="0" borderId="11" xfId="0" applyNumberFormat="1" applyFont="1" applyFill="1" applyBorder="1" applyAlignment="1">
      <alignment horizontal="right"/>
    </xf>
    <xf numFmtId="164" fontId="3" fillId="0" borderId="5" xfId="1" applyNumberFormat="1" applyFont="1" applyFill="1" applyBorder="1"/>
    <xf numFmtId="0" fontId="8" fillId="0" borderId="0" xfId="0" applyFont="1" applyFill="1"/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/>
    <xf numFmtId="164" fontId="8" fillId="0" borderId="11" xfId="1" applyNumberFormat="1" applyFont="1" applyFill="1" applyBorder="1"/>
    <xf numFmtId="0" fontId="2" fillId="0" borderId="18" xfId="0" applyFont="1" applyFill="1" applyBorder="1" applyAlignment="1"/>
    <xf numFmtId="164" fontId="0" fillId="0" borderId="39" xfId="1" applyNumberFormat="1" applyFont="1" applyFill="1" applyBorder="1"/>
    <xf numFmtId="164" fontId="9" fillId="0" borderId="31" xfId="1" applyNumberFormat="1" applyFont="1" applyFill="1" applyBorder="1"/>
    <xf numFmtId="0" fontId="0" fillId="0" borderId="0" xfId="0" applyFill="1" applyAlignment="1"/>
    <xf numFmtId="167" fontId="12" fillId="0" borderId="23" xfId="0" applyNumberFormat="1" applyFont="1" applyFill="1" applyBorder="1"/>
    <xf numFmtId="165" fontId="0" fillId="0" borderId="0" xfId="0" applyNumberFormat="1" applyFill="1"/>
    <xf numFmtId="174" fontId="12" fillId="0" borderId="17" xfId="0" applyNumberFormat="1" applyFont="1" applyFill="1" applyBorder="1" applyAlignment="1">
      <alignment horizontal="center"/>
    </xf>
    <xf numFmtId="3" fontId="12" fillId="0" borderId="0" xfId="0" applyNumberFormat="1" applyFont="1" applyFill="1" applyBorder="1" applyAlignment="1">
      <alignment horizontal="center"/>
    </xf>
    <xf numFmtId="43" fontId="0" fillId="0" borderId="0" xfId="0" applyNumberFormat="1" applyFill="1"/>
    <xf numFmtId="43" fontId="0" fillId="0" borderId="0" xfId="1" applyFont="1" applyFill="1"/>
    <xf numFmtId="0" fontId="5" fillId="0" borderId="28" xfId="0" applyFont="1" applyFill="1" applyBorder="1" applyAlignment="1">
      <alignment horizontal="center"/>
    </xf>
    <xf numFmtId="0" fontId="0" fillId="0" borderId="18" xfId="0" applyFill="1" applyBorder="1"/>
    <xf numFmtId="5" fontId="0" fillId="0" borderId="10" xfId="0" applyNumberFormat="1" applyFill="1" applyBorder="1"/>
    <xf numFmtId="165" fontId="0" fillId="0" borderId="52" xfId="0" applyNumberFormat="1" applyFill="1" applyBorder="1"/>
    <xf numFmtId="5" fontId="0" fillId="0" borderId="27" xfId="0" applyNumberFormat="1" applyFill="1" applyBorder="1"/>
    <xf numFmtId="5" fontId="0" fillId="0" borderId="52" xfId="0" applyNumberFormat="1" applyFill="1" applyBorder="1"/>
    <xf numFmtId="5" fontId="0" fillId="0" borderId="29" xfId="0" applyNumberFormat="1" applyFill="1" applyBorder="1"/>
    <xf numFmtId="5" fontId="8" fillId="0" borderId="11" xfId="0" applyNumberFormat="1" applyFont="1" applyFill="1" applyBorder="1" applyAlignment="1">
      <alignment horizontal="right"/>
    </xf>
    <xf numFmtId="165" fontId="8" fillId="0" borderId="43" xfId="0" applyNumberFormat="1" applyFont="1" applyFill="1" applyBorder="1"/>
    <xf numFmtId="5" fontId="8" fillId="0" borderId="11" xfId="0" applyNumberFormat="1" applyFont="1" applyFill="1" applyBorder="1"/>
    <xf numFmtId="5" fontId="8" fillId="0" borderId="5" xfId="0" applyNumberFormat="1" applyFont="1" applyFill="1" applyBorder="1"/>
    <xf numFmtId="5" fontId="8" fillId="0" borderId="43" xfId="0" applyNumberFormat="1" applyFont="1" applyFill="1" applyBorder="1"/>
    <xf numFmtId="5" fontId="8" fillId="0" borderId="9" xfId="0" applyNumberFormat="1" applyFont="1" applyFill="1" applyBorder="1"/>
    <xf numFmtId="167" fontId="12" fillId="0" borderId="26" xfId="0" applyNumberFormat="1" applyFont="1" applyFill="1" applyBorder="1"/>
    <xf numFmtId="168" fontId="0" fillId="0" borderId="0" xfId="5" applyNumberFormat="1" applyFont="1" applyFill="1"/>
    <xf numFmtId="9" fontId="12" fillId="0" borderId="17" xfId="0" applyNumberFormat="1" applyFont="1" applyFill="1" applyBorder="1" applyAlignment="1">
      <alignment horizontal="center" vertical="center"/>
    </xf>
    <xf numFmtId="1" fontId="12" fillId="0" borderId="23" xfId="0" applyNumberFormat="1" applyFont="1" applyFill="1" applyBorder="1"/>
    <xf numFmtId="3" fontId="12" fillId="0" borderId="22" xfId="0" applyNumberFormat="1" applyFont="1" applyFill="1" applyBorder="1" applyAlignment="1">
      <alignment horizontal="center" wrapText="1"/>
    </xf>
    <xf numFmtId="0" fontId="12" fillId="0" borderId="24" xfId="0" applyFont="1" applyFill="1" applyBorder="1" applyAlignment="1">
      <alignment wrapText="1"/>
    </xf>
    <xf numFmtId="1" fontId="12" fillId="0" borderId="26" xfId="0" applyNumberFormat="1" applyFont="1" applyFill="1" applyBorder="1"/>
    <xf numFmtId="0" fontId="0" fillId="0" borderId="0" xfId="0" applyFill="1" applyAlignment="1">
      <alignment wrapText="1"/>
    </xf>
    <xf numFmtId="0" fontId="12" fillId="0" borderId="0" xfId="0" applyFont="1" applyFill="1" applyBorder="1" applyAlignment="1">
      <alignment wrapText="1"/>
    </xf>
    <xf numFmtId="1" fontId="12" fillId="0" borderId="0" xfId="0" applyNumberFormat="1" applyFont="1" applyFill="1" applyBorder="1"/>
    <xf numFmtId="3" fontId="0" fillId="0" borderId="51" xfId="0" applyNumberFormat="1" applyFill="1" applyBorder="1"/>
    <xf numFmtId="1" fontId="0" fillId="0" borderId="3" xfId="0" applyNumberFormat="1" applyFill="1" applyBorder="1"/>
    <xf numFmtId="1" fontId="0" fillId="0" borderId="52" xfId="0" applyNumberFormat="1" applyFill="1" applyBorder="1"/>
    <xf numFmtId="3" fontId="8" fillId="0" borderId="7" xfId="0" applyNumberFormat="1" applyFont="1" applyFill="1" applyBorder="1"/>
    <xf numFmtId="1" fontId="8" fillId="0" borderId="43" xfId="0" applyNumberFormat="1" applyFont="1" applyFill="1" applyBorder="1"/>
    <xf numFmtId="165" fontId="17" fillId="0" borderId="0" xfId="1" applyNumberFormat="1" applyFont="1"/>
    <xf numFmtId="166" fontId="8" fillId="2" borderId="56" xfId="0" applyNumberFormat="1" applyFont="1" applyFill="1" applyBorder="1"/>
    <xf numFmtId="166" fontId="2" fillId="2" borderId="59" xfId="0" applyNumberFormat="1" applyFont="1" applyFill="1" applyBorder="1"/>
    <xf numFmtId="165" fontId="5" fillId="0" borderId="4" xfId="0" applyNumberFormat="1" applyFont="1" applyFill="1" applyBorder="1"/>
    <xf numFmtId="168" fontId="0" fillId="0" borderId="0" xfId="0" applyNumberFormat="1"/>
    <xf numFmtId="0" fontId="0" fillId="0" borderId="0" xfId="0" applyAlignment="1">
      <alignment horizontal="right"/>
    </xf>
    <xf numFmtId="166" fontId="0" fillId="0" borderId="0" xfId="2" applyNumberFormat="1" applyFont="1"/>
    <xf numFmtId="178" fontId="0" fillId="0" borderId="0" xfId="0" applyNumberFormat="1"/>
    <xf numFmtId="165" fontId="0" fillId="0" borderId="0" xfId="0" applyNumberFormat="1"/>
    <xf numFmtId="177" fontId="0" fillId="0" borderId="0" xfId="0" applyNumberFormat="1"/>
    <xf numFmtId="164" fontId="3" fillId="0" borderId="0" xfId="0" applyNumberFormat="1" applyFont="1" applyFill="1" applyBorder="1" applyAlignment="1">
      <alignment horizontal="right"/>
    </xf>
    <xf numFmtId="165" fontId="0" fillId="0" borderId="51" xfId="1" applyNumberFormat="1" applyFont="1" applyFill="1" applyBorder="1"/>
    <xf numFmtId="165" fontId="8" fillId="0" borderId="7" xfId="1" applyNumberFormat="1" applyFont="1" applyFill="1" applyBorder="1"/>
    <xf numFmtId="0" fontId="3" fillId="0" borderId="30" xfId="2" applyNumberFormat="1" applyFont="1" applyFill="1" applyBorder="1"/>
    <xf numFmtId="9" fontId="3" fillId="0" borderId="30" xfId="2" applyFont="1" applyFill="1" applyBorder="1"/>
    <xf numFmtId="164" fontId="0" fillId="0" borderId="29" xfId="0" applyNumberFormat="1" applyFill="1" applyBorder="1" applyAlignment="1">
      <alignment horizontal="right"/>
    </xf>
    <xf numFmtId="164" fontId="3" fillId="0" borderId="10" xfId="0" applyNumberFormat="1" applyFont="1" applyFill="1" applyBorder="1" applyAlignment="1">
      <alignment horizontal="left"/>
    </xf>
    <xf numFmtId="0" fontId="15" fillId="0" borderId="0" xfId="0" applyFont="1" applyFill="1" applyBorder="1"/>
    <xf numFmtId="0" fontId="15" fillId="0" borderId="0" xfId="0" applyFont="1" applyFill="1" applyBorder="1" applyAlignment="1">
      <alignment horizontal="center"/>
    </xf>
    <xf numFmtId="164" fontId="15" fillId="0" borderId="0" xfId="1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left" vertical="center" wrapText="1"/>
    </xf>
    <xf numFmtId="165" fontId="15" fillId="0" borderId="0" xfId="5" applyNumberFormat="1" applyFont="1" applyFill="1" applyBorder="1" applyAlignment="1">
      <alignment horizontal="center"/>
    </xf>
    <xf numFmtId="10" fontId="15" fillId="0" borderId="0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left"/>
    </xf>
    <xf numFmtId="16" fontId="15" fillId="0" borderId="0" xfId="0" applyNumberFormat="1" applyFont="1" applyFill="1" applyBorder="1"/>
    <xf numFmtId="0" fontId="15" fillId="0" borderId="0" xfId="0" applyFont="1" applyFill="1" applyBorder="1" applyAlignment="1">
      <alignment horizontal="left"/>
    </xf>
    <xf numFmtId="1" fontId="15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 vertical="center"/>
    </xf>
    <xf numFmtId="166" fontId="15" fillId="0" borderId="0" xfId="2" applyNumberFormat="1" applyFont="1" applyFill="1" applyBorder="1" applyAlignment="1">
      <alignment horizontal="center"/>
    </xf>
    <xf numFmtId="165" fontId="15" fillId="0" borderId="0" xfId="0" applyNumberFormat="1" applyFont="1" applyFill="1" applyBorder="1"/>
    <xf numFmtId="1" fontId="15" fillId="0" borderId="0" xfId="1" applyNumberFormat="1" applyFont="1" applyFill="1" applyBorder="1" applyAlignment="1">
      <alignment horizontal="center"/>
    </xf>
    <xf numFmtId="166" fontId="15" fillId="0" borderId="0" xfId="2" applyNumberFormat="1" applyFont="1" applyFill="1" applyBorder="1"/>
    <xf numFmtId="165" fontId="15" fillId="0" borderId="0" xfId="0" applyNumberFormat="1" applyFont="1" applyFill="1" applyBorder="1" applyAlignment="1">
      <alignment horizontal="center"/>
    </xf>
    <xf numFmtId="9" fontId="15" fillId="0" borderId="0" xfId="0" applyNumberFormat="1" applyFont="1" applyFill="1" applyBorder="1" applyAlignment="1">
      <alignment horizontal="center"/>
    </xf>
    <xf numFmtId="167" fontId="15" fillId="0" borderId="0" xfId="0" applyNumberFormat="1" applyFont="1" applyFill="1" applyBorder="1"/>
    <xf numFmtId="164" fontId="15" fillId="0" borderId="0" xfId="1" applyNumberFormat="1" applyFont="1" applyFill="1" applyBorder="1"/>
    <xf numFmtId="0" fontId="16" fillId="0" borderId="0" xfId="0" applyFont="1" applyFill="1" applyBorder="1" applyAlignment="1">
      <alignment horizontal="center" wrapText="1"/>
    </xf>
    <xf numFmtId="43" fontId="15" fillId="0" borderId="0" xfId="1" applyNumberFormat="1" applyFont="1" applyFill="1" applyBorder="1"/>
    <xf numFmtId="43" fontId="15" fillId="0" borderId="0" xfId="0" applyNumberFormat="1" applyFont="1" applyFill="1" applyBorder="1"/>
    <xf numFmtId="44" fontId="15" fillId="0" borderId="0" xfId="5" applyFont="1" applyFill="1" applyBorder="1"/>
    <xf numFmtId="168" fontId="15" fillId="0" borderId="0" xfId="5" applyNumberFormat="1" applyFont="1" applyFill="1" applyBorder="1"/>
    <xf numFmtId="164" fontId="15" fillId="0" borderId="0" xfId="0" applyNumberFormat="1" applyFont="1" applyFill="1" applyBorder="1"/>
    <xf numFmtId="169" fontId="15" fillId="0" borderId="0" xfId="0" applyNumberFormat="1" applyFont="1" applyFill="1" applyBorder="1"/>
    <xf numFmtId="44" fontId="15" fillId="0" borderId="0" xfId="0" applyNumberFormat="1" applyFont="1" applyFill="1" applyBorder="1"/>
    <xf numFmtId="166" fontId="15" fillId="0" borderId="0" xfId="0" applyNumberFormat="1" applyFont="1" applyFill="1" applyBorder="1" applyAlignment="1">
      <alignment horizontal="center"/>
    </xf>
    <xf numFmtId="9" fontId="15" fillId="0" borderId="0" xfId="2" applyFont="1" applyFill="1" applyBorder="1"/>
    <xf numFmtId="0" fontId="16" fillId="0" borderId="0" xfId="0" applyFont="1" applyFill="1" applyBorder="1"/>
    <xf numFmtId="167" fontId="15" fillId="0" borderId="0" xfId="0" applyNumberFormat="1" applyFont="1" applyFill="1" applyBorder="1" applyAlignment="1">
      <alignment horizontal="center"/>
    </xf>
    <xf numFmtId="37" fontId="15" fillId="0" borderId="0" xfId="1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left" vertical="center"/>
    </xf>
    <xf numFmtId="165" fontId="16" fillId="0" borderId="0" xfId="5" applyNumberFormat="1" applyFont="1" applyFill="1" applyBorder="1" applyAlignment="1">
      <alignment horizontal="center"/>
    </xf>
    <xf numFmtId="164" fontId="9" fillId="0" borderId="5" xfId="1" applyNumberFormat="1" applyFont="1" applyFill="1" applyBorder="1"/>
    <xf numFmtId="9" fontId="0" fillId="0" borderId="0" xfId="0" applyNumberFormat="1" applyFill="1" applyBorder="1"/>
    <xf numFmtId="164" fontId="8" fillId="0" borderId="41" xfId="1" applyNumberFormat="1" applyFont="1" applyFill="1" applyBorder="1"/>
    <xf numFmtId="165" fontId="0" fillId="0" borderId="4" xfId="0" applyNumberFormat="1" applyFill="1" applyBorder="1"/>
    <xf numFmtId="165" fontId="8" fillId="0" borderId="6" xfId="0" applyNumberFormat="1" applyFont="1" applyFill="1" applyBorder="1"/>
    <xf numFmtId="10" fontId="15" fillId="0" borderId="0" xfId="2" applyNumberFormat="1" applyFont="1" applyFill="1" applyBorder="1" applyAlignment="1">
      <alignment horizontal="center"/>
    </xf>
    <xf numFmtId="43" fontId="0" fillId="5" borderId="0" xfId="1" applyFont="1" applyFill="1"/>
    <xf numFmtId="164" fontId="0" fillId="5" borderId="0" xfId="1" applyNumberFormat="1" applyFont="1" applyFill="1"/>
    <xf numFmtId="43" fontId="5" fillId="5" borderId="0" xfId="1" applyFont="1" applyFill="1"/>
    <xf numFmtId="164" fontId="5" fillId="5" borderId="0" xfId="1" applyNumberFormat="1" applyFont="1" applyFill="1"/>
    <xf numFmtId="43" fontId="5" fillId="5" borderId="23" xfId="1" applyFont="1" applyFill="1" applyBorder="1"/>
    <xf numFmtId="43" fontId="16" fillId="5" borderId="0" xfId="1" applyFont="1" applyFill="1"/>
    <xf numFmtId="43" fontId="0" fillId="5" borderId="23" xfId="1" applyFont="1" applyFill="1" applyBorder="1"/>
    <xf numFmtId="176" fontId="0" fillId="0" borderId="0" xfId="1" applyNumberFormat="1" applyFont="1" applyFill="1"/>
    <xf numFmtId="176" fontId="0" fillId="0" borderId="10" xfId="1" applyNumberFormat="1" applyFont="1" applyFill="1" applyBorder="1"/>
    <xf numFmtId="167" fontId="5" fillId="0" borderId="0" xfId="0" applyNumberFormat="1" applyFont="1"/>
    <xf numFmtId="0" fontId="13" fillId="0" borderId="0" xfId="0" applyFont="1" applyFill="1" applyBorder="1"/>
    <xf numFmtId="164" fontId="12" fillId="0" borderId="17" xfId="1" applyNumberFormat="1" applyFont="1" applyFill="1" applyBorder="1"/>
    <xf numFmtId="0" fontId="12" fillId="0" borderId="0" xfId="0" applyFont="1" applyFill="1"/>
    <xf numFmtId="0" fontId="12" fillId="0" borderId="18" xfId="0" applyFont="1" applyFill="1" applyBorder="1" applyAlignment="1">
      <alignment horizontal="left" vertical="center" wrapText="1"/>
    </xf>
    <xf numFmtId="0" fontId="12" fillId="0" borderId="18" xfId="0" applyFont="1" applyFill="1" applyBorder="1" applyAlignment="1">
      <alignment horizontal="left" vertical="center"/>
    </xf>
    <xf numFmtId="0" fontId="12" fillId="0" borderId="24" xfId="0" applyFont="1" applyFill="1" applyBorder="1" applyAlignment="1">
      <alignment horizontal="left" vertical="center"/>
    </xf>
    <xf numFmtId="0" fontId="12" fillId="0" borderId="20" xfId="0" applyFont="1" applyFill="1" applyBorder="1" applyAlignment="1">
      <alignment horizontal="left" vertical="center"/>
    </xf>
    <xf numFmtId="1" fontId="12" fillId="0" borderId="22" xfId="0" applyNumberFormat="1" applyFont="1" applyFill="1" applyBorder="1"/>
    <xf numFmtId="10" fontId="9" fillId="0" borderId="12" xfId="2" applyNumberFormat="1" applyFont="1" applyFill="1" applyBorder="1"/>
    <xf numFmtId="164" fontId="9" fillId="0" borderId="5" xfId="0" applyNumberFormat="1" applyFont="1" applyFill="1" applyBorder="1"/>
    <xf numFmtId="170" fontId="0" fillId="0" borderId="0" xfId="0" applyNumberFormat="1" applyFill="1"/>
    <xf numFmtId="43" fontId="15" fillId="0" borderId="0" xfId="0" applyNumberFormat="1" applyFont="1" applyFill="1" applyBorder="1" applyAlignment="1">
      <alignment horizontal="center"/>
    </xf>
    <xf numFmtId="37" fontId="15" fillId="0" borderId="0" xfId="0" applyNumberFormat="1" applyFont="1" applyFill="1" applyBorder="1" applyAlignment="1">
      <alignment horizontal="center"/>
    </xf>
    <xf numFmtId="165" fontId="15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left" vertical="center"/>
    </xf>
    <xf numFmtId="176" fontId="0" fillId="0" borderId="29" xfId="1" applyNumberFormat="1" applyFont="1" applyFill="1" applyBorder="1"/>
    <xf numFmtId="164" fontId="8" fillId="0" borderId="9" xfId="1" applyNumberFormat="1" applyFont="1" applyFill="1" applyBorder="1"/>
    <xf numFmtId="179" fontId="15" fillId="0" borderId="0" xfId="2" applyNumberFormat="1" applyFont="1" applyFill="1" applyBorder="1" applyAlignment="1">
      <alignment horizontal="center"/>
    </xf>
    <xf numFmtId="166" fontId="3" fillId="0" borderId="3" xfId="2" applyNumberFormat="1" applyFont="1" applyFill="1" applyBorder="1"/>
    <xf numFmtId="166" fontId="9" fillId="0" borderId="6" xfId="2" applyNumberFormat="1" applyFont="1" applyFill="1" applyBorder="1"/>
    <xf numFmtId="0" fontId="0" fillId="0" borderId="0" xfId="0" applyAlignment="1">
      <alignment horizontal="center"/>
    </xf>
    <xf numFmtId="6" fontId="0" fillId="0" borderId="35" xfId="0" applyNumberFormat="1" applyBorder="1"/>
    <xf numFmtId="6" fontId="0" fillId="4" borderId="3" xfId="0" applyNumberFormat="1" applyFill="1" applyBorder="1"/>
    <xf numFmtId="6" fontId="0" fillId="0" borderId="3" xfId="0" applyNumberFormat="1" applyBorder="1"/>
    <xf numFmtId="6" fontId="0" fillId="0" borderId="63" xfId="0" applyNumberFormat="1" applyBorder="1"/>
    <xf numFmtId="6" fontId="8" fillId="0" borderId="56" xfId="0" applyNumberFormat="1" applyFont="1" applyBorder="1" applyAlignment="1">
      <alignment horizontal="center" vertical="center" wrapText="1"/>
    </xf>
    <xf numFmtId="6" fontId="8" fillId="0" borderId="59" xfId="0" applyNumberFormat="1" applyFont="1" applyBorder="1" applyAlignment="1">
      <alignment horizontal="center" vertical="center" wrapText="1"/>
    </xf>
    <xf numFmtId="6" fontId="2" fillId="0" borderId="57" xfId="0" applyNumberFormat="1" applyFont="1" applyBorder="1" applyAlignment="1">
      <alignment horizontal="center" vertical="center" wrapText="1"/>
    </xf>
    <xf numFmtId="6" fontId="1" fillId="0" borderId="10" xfId="5" applyNumberFormat="1" applyFont="1" applyBorder="1"/>
    <xf numFmtId="6" fontId="1" fillId="0" borderId="3" xfId="5" applyNumberFormat="1" applyFont="1" applyBorder="1"/>
    <xf numFmtId="6" fontId="0" fillId="0" borderId="3" xfId="0" applyNumberFormat="1" applyFont="1" applyBorder="1"/>
    <xf numFmtId="6" fontId="1" fillId="4" borderId="10" xfId="5" applyNumberFormat="1" applyFont="1" applyFill="1" applyBorder="1"/>
    <xf numFmtId="6" fontId="1" fillId="4" borderId="3" xfId="5" applyNumberFormat="1" applyFont="1" applyFill="1" applyBorder="1"/>
    <xf numFmtId="6" fontId="0" fillId="4" borderId="3" xfId="0" applyNumberFormat="1" applyFont="1" applyFill="1" applyBorder="1"/>
    <xf numFmtId="6" fontId="1" fillId="0" borderId="61" xfId="5" applyNumberFormat="1" applyFont="1" applyBorder="1"/>
    <xf numFmtId="6" fontId="1" fillId="0" borderId="63" xfId="5" applyNumberFormat="1" applyFont="1" applyBorder="1"/>
    <xf numFmtId="6" fontId="0" fillId="0" borderId="63" xfId="0" applyNumberFormat="1" applyFont="1" applyBorder="1"/>
    <xf numFmtId="6" fontId="8" fillId="0" borderId="56" xfId="5" applyNumberFormat="1" applyFont="1" applyBorder="1"/>
    <xf numFmtId="6" fontId="8" fillId="0" borderId="59" xfId="0" applyNumberFormat="1" applyFont="1" applyBorder="1"/>
    <xf numFmtId="6" fontId="8" fillId="0" borderId="59" xfId="5" applyNumberFormat="1" applyFont="1" applyBorder="1"/>
    <xf numFmtId="6" fontId="0" fillId="0" borderId="37" xfId="0" applyNumberFormat="1" applyBorder="1"/>
    <xf numFmtId="6" fontId="0" fillId="4" borderId="10" xfId="0" applyNumberFormat="1" applyFill="1" applyBorder="1"/>
    <xf numFmtId="6" fontId="0" fillId="0" borderId="10" xfId="0" applyNumberFormat="1" applyBorder="1"/>
    <xf numFmtId="6" fontId="0" fillId="0" borderId="61" xfId="0" applyNumberFormat="1" applyBorder="1"/>
    <xf numFmtId="6" fontId="17" fillId="0" borderId="0" xfId="1" applyNumberFormat="1" applyFont="1"/>
    <xf numFmtId="6" fontId="2" fillId="0" borderId="28" xfId="0" applyNumberFormat="1" applyFont="1" applyBorder="1" applyAlignment="1">
      <alignment horizontal="center" vertical="center" wrapText="1"/>
    </xf>
    <xf numFmtId="6" fontId="8" fillId="0" borderId="55" xfId="0" applyNumberFormat="1" applyFont="1" applyBorder="1"/>
    <xf numFmtId="6" fontId="8" fillId="0" borderId="1" xfId="0" applyNumberFormat="1" applyFont="1" applyBorder="1"/>
    <xf numFmtId="6" fontId="8" fillId="0" borderId="42" xfId="0" applyNumberFormat="1" applyFont="1" applyBorder="1"/>
    <xf numFmtId="6" fontId="0" fillId="0" borderId="0" xfId="0" applyNumberFormat="1" applyAlignment="1">
      <alignment horizontal="right"/>
    </xf>
    <xf numFmtId="164" fontId="5" fillId="0" borderId="0" xfId="1" applyNumberFormat="1" applyFont="1" applyAlignment="1">
      <alignment horizontal="center" vertical="center" wrapText="1"/>
    </xf>
    <xf numFmtId="10" fontId="15" fillId="0" borderId="0" xfId="2" applyNumberFormat="1" applyFont="1" applyFill="1" applyBorder="1"/>
    <xf numFmtId="0" fontId="18" fillId="0" borderId="0" xfId="0" applyFont="1" applyFill="1" applyBorder="1"/>
    <xf numFmtId="6" fontId="5" fillId="0" borderId="46" xfId="0" applyNumberFormat="1" applyFont="1" applyBorder="1"/>
    <xf numFmtId="6" fontId="5" fillId="4" borderId="27" xfId="0" applyNumberFormat="1" applyFont="1" applyFill="1" applyBorder="1"/>
    <xf numFmtId="6" fontId="5" fillId="0" borderId="27" xfId="0" applyNumberFormat="1" applyFont="1" applyBorder="1"/>
    <xf numFmtId="6" fontId="5" fillId="0" borderId="27" xfId="0" applyNumberFormat="1" applyFont="1" applyFill="1" applyBorder="1"/>
    <xf numFmtId="6" fontId="5" fillId="0" borderId="19" xfId="0" applyNumberFormat="1" applyFont="1" applyBorder="1"/>
    <xf numFmtId="6" fontId="2" fillId="0" borderId="57" xfId="0" applyNumberFormat="1" applyFont="1" applyBorder="1"/>
    <xf numFmtId="0" fontId="2" fillId="0" borderId="57" xfId="0" applyFont="1" applyBorder="1" applyAlignment="1">
      <alignment horizontal="center" vertical="center" wrapText="1"/>
    </xf>
    <xf numFmtId="164" fontId="12" fillId="0" borderId="18" xfId="0" applyNumberFormat="1" applyFont="1" applyFill="1" applyBorder="1" applyAlignment="1">
      <alignment wrapText="1"/>
    </xf>
    <xf numFmtId="164" fontId="12" fillId="0" borderId="24" xfId="0" applyNumberFormat="1" applyFont="1" applyFill="1" applyBorder="1"/>
    <xf numFmtId="164" fontId="12" fillId="0" borderId="17" xfId="0" applyNumberFormat="1" applyFont="1" applyFill="1" applyBorder="1" applyAlignment="1">
      <alignment horizontal="center"/>
    </xf>
    <xf numFmtId="164" fontId="12" fillId="0" borderId="26" xfId="0" applyNumberFormat="1" applyFont="1" applyFill="1" applyBorder="1" applyAlignment="1">
      <alignment horizontal="center"/>
    </xf>
    <xf numFmtId="0" fontId="9" fillId="0" borderId="7" xfId="0" applyFont="1" applyFill="1" applyBorder="1"/>
    <xf numFmtId="43" fontId="0" fillId="0" borderId="0" xfId="1" applyNumberFormat="1" applyFont="1"/>
    <xf numFmtId="43" fontId="0" fillId="0" borderId="0" xfId="0" applyNumberFormat="1"/>
    <xf numFmtId="176" fontId="15" fillId="0" borderId="0" xfId="0" applyNumberFormat="1" applyFont="1" applyFill="1" applyBorder="1"/>
    <xf numFmtId="0" fontId="2" fillId="0" borderId="22" xfId="0" applyFont="1" applyBorder="1" applyAlignment="1">
      <alignment horizontal="center" vertical="center" wrapText="1"/>
    </xf>
    <xf numFmtId="9" fontId="5" fillId="0" borderId="32" xfId="2" applyFont="1" applyBorder="1"/>
    <xf numFmtId="9" fontId="5" fillId="4" borderId="52" xfId="2" applyFont="1" applyFill="1" applyBorder="1"/>
    <xf numFmtId="9" fontId="5" fillId="0" borderId="52" xfId="2" applyFont="1" applyBorder="1"/>
    <xf numFmtId="9" fontId="5" fillId="0" borderId="38" xfId="2" applyFont="1" applyBorder="1"/>
    <xf numFmtId="9" fontId="2" fillId="0" borderId="22" xfId="2" applyNumberFormat="1" applyFont="1" applyBorder="1"/>
    <xf numFmtId="0" fontId="8" fillId="0" borderId="22" xfId="0" applyFont="1" applyBorder="1"/>
    <xf numFmtId="6" fontId="0" fillId="4" borderId="52" xfId="0" applyNumberFormat="1" applyFill="1" applyBorder="1"/>
    <xf numFmtId="6" fontId="0" fillId="0" borderId="52" xfId="0" applyNumberFormat="1" applyBorder="1"/>
    <xf numFmtId="6" fontId="0" fillId="0" borderId="38" xfId="0" applyNumberFormat="1" applyBorder="1"/>
    <xf numFmtId="6" fontId="8" fillId="0" borderId="22" xfId="0" applyNumberFormat="1" applyFont="1" applyBorder="1"/>
    <xf numFmtId="165" fontId="2" fillId="0" borderId="57" xfId="0" applyNumberFormat="1" applyFont="1" applyBorder="1"/>
    <xf numFmtId="0" fontId="2" fillId="0" borderId="0" xfId="0" applyFont="1" applyBorder="1" applyAlignment="1">
      <alignment horizontal="center"/>
    </xf>
    <xf numFmtId="165" fontId="5" fillId="0" borderId="37" xfId="5" applyNumberFormat="1" applyFont="1" applyBorder="1"/>
    <xf numFmtId="165" fontId="5" fillId="4" borderId="10" xfId="5" applyNumberFormat="1" applyFont="1" applyFill="1" applyBorder="1"/>
    <xf numFmtId="165" fontId="5" fillId="0" borderId="10" xfId="5" applyNumberFormat="1" applyFont="1" applyBorder="1"/>
    <xf numFmtId="165" fontId="5" fillId="0" borderId="53" xfId="5" applyNumberFormat="1" applyFont="1" applyBorder="1"/>
    <xf numFmtId="165" fontId="2" fillId="0" borderId="56" xfId="5" applyNumberFormat="1" applyFont="1" applyBorder="1"/>
    <xf numFmtId="171" fontId="8" fillId="0" borderId="28" xfId="1" applyNumberFormat="1" applyFont="1" applyBorder="1" applyAlignment="1">
      <alignment horizontal="center" vertical="center" wrapText="1"/>
    </xf>
    <xf numFmtId="166" fontId="2" fillId="0" borderId="20" xfId="2" applyNumberFormat="1" applyFont="1" applyBorder="1" applyAlignment="1">
      <alignment horizontal="center" vertical="center"/>
    </xf>
    <xf numFmtId="9" fontId="2" fillId="0" borderId="57" xfId="0" applyNumberFormat="1" applyFont="1" applyBorder="1" applyAlignment="1">
      <alignment horizontal="right"/>
    </xf>
    <xf numFmtId="9" fontId="5" fillId="0" borderId="46" xfId="2" applyFont="1" applyBorder="1" applyAlignment="1">
      <alignment horizontal="right"/>
    </xf>
    <xf numFmtId="9" fontId="5" fillId="4" borderId="27" xfId="2" applyFont="1" applyFill="1" applyBorder="1" applyAlignment="1">
      <alignment horizontal="right"/>
    </xf>
    <xf numFmtId="9" fontId="5" fillId="0" borderId="27" xfId="2" applyFont="1" applyBorder="1" applyAlignment="1">
      <alignment horizontal="right"/>
    </xf>
    <xf numFmtId="9" fontId="5" fillId="0" borderId="64" xfId="2" applyFont="1" applyBorder="1" applyAlignment="1">
      <alignment horizontal="right"/>
    </xf>
    <xf numFmtId="9" fontId="2" fillId="0" borderId="57" xfId="2" applyFont="1" applyBorder="1" applyAlignment="1">
      <alignment horizontal="right"/>
    </xf>
    <xf numFmtId="165" fontId="17" fillId="0" borderId="0" xfId="1" applyNumberFormat="1" applyFont="1" applyAlignment="1">
      <alignment horizontal="right"/>
    </xf>
    <xf numFmtId="0" fontId="2" fillId="0" borderId="26" xfId="0" applyFont="1" applyBorder="1" applyAlignment="1">
      <alignment horizontal="center" vertical="center" wrapText="1"/>
    </xf>
    <xf numFmtId="6" fontId="5" fillId="0" borderId="35" xfId="1" applyNumberFormat="1" applyFont="1" applyBorder="1"/>
    <xf numFmtId="0" fontId="5" fillId="0" borderId="0" xfId="0" applyFont="1" applyBorder="1" applyAlignment="1">
      <alignment horizontal="center" wrapText="1"/>
    </xf>
    <xf numFmtId="0" fontId="2" fillId="0" borderId="28" xfId="0" applyFont="1" applyBorder="1" applyAlignment="1">
      <alignment horizontal="center" wrapText="1"/>
    </xf>
    <xf numFmtId="10" fontId="2" fillId="2" borderId="57" xfId="0" applyNumberFormat="1" applyFont="1" applyFill="1" applyBorder="1"/>
    <xf numFmtId="6" fontId="5" fillId="0" borderId="0" xfId="0" applyNumberFormat="1" applyFont="1"/>
    <xf numFmtId="0" fontId="5" fillId="0" borderId="0" xfId="0" applyFont="1" applyAlignment="1">
      <alignment horizontal="right"/>
    </xf>
    <xf numFmtId="168" fontId="5" fillId="0" borderId="0" xfId="0" applyNumberFormat="1" applyFont="1"/>
    <xf numFmtId="38" fontId="0" fillId="0" borderId="32" xfId="0" applyNumberFormat="1" applyBorder="1"/>
    <xf numFmtId="38" fontId="0" fillId="4" borderId="52" xfId="0" applyNumberFormat="1" applyFill="1" applyBorder="1"/>
    <xf numFmtId="38" fontId="0" fillId="0" borderId="52" xfId="0" applyNumberFormat="1" applyBorder="1"/>
    <xf numFmtId="38" fontId="0" fillId="0" borderId="38" xfId="0" applyNumberFormat="1" applyBorder="1"/>
    <xf numFmtId="38" fontId="8" fillId="0" borderId="22" xfId="0" applyNumberFormat="1" applyFont="1" applyBorder="1"/>
    <xf numFmtId="6" fontId="8" fillId="0" borderId="37" xfId="5" applyNumberFormat="1" applyFont="1" applyBorder="1"/>
    <xf numFmtId="6" fontId="8" fillId="0" borderId="35" xfId="5" applyNumberFormat="1" applyFont="1" applyBorder="1"/>
    <xf numFmtId="6" fontId="0" fillId="0" borderId="46" xfId="0" applyNumberFormat="1" applyBorder="1"/>
    <xf numFmtId="6" fontId="8" fillId="4" borderId="10" xfId="5" applyNumberFormat="1" applyFont="1" applyFill="1" applyBorder="1"/>
    <xf numFmtId="6" fontId="8" fillId="4" borderId="3" xfId="5" applyNumberFormat="1" applyFont="1" applyFill="1" applyBorder="1"/>
    <xf numFmtId="6" fontId="8" fillId="0" borderId="10" xfId="5" applyNumberFormat="1" applyFont="1" applyBorder="1"/>
    <xf numFmtId="6" fontId="8" fillId="0" borderId="3" xfId="5" applyNumberFormat="1" applyFont="1" applyBorder="1"/>
    <xf numFmtId="6" fontId="8" fillId="0" borderId="61" xfId="5" applyNumberFormat="1" applyFont="1" applyBorder="1"/>
    <xf numFmtId="6" fontId="8" fillId="0" borderId="63" xfId="5" applyNumberFormat="1" applyFont="1" applyBorder="1"/>
    <xf numFmtId="6" fontId="0" fillId="0" borderId="37" xfId="1" applyNumberFormat="1" applyFont="1" applyBorder="1"/>
    <xf numFmtId="6" fontId="0" fillId="4" borderId="10" xfId="1" applyNumberFormat="1" applyFont="1" applyFill="1" applyBorder="1"/>
    <xf numFmtId="6" fontId="5" fillId="4" borderId="3" xfId="1" applyNumberFormat="1" applyFont="1" applyFill="1" applyBorder="1"/>
    <xf numFmtId="6" fontId="0" fillId="0" borderId="10" xfId="1" applyNumberFormat="1" applyFont="1" applyBorder="1"/>
    <xf numFmtId="6" fontId="5" fillId="0" borderId="3" xfId="1" applyNumberFormat="1" applyFont="1" applyBorder="1"/>
    <xf numFmtId="6" fontId="0" fillId="0" borderId="61" xfId="1" applyNumberFormat="1" applyFont="1" applyBorder="1"/>
    <xf numFmtId="6" fontId="5" fillId="0" borderId="63" xfId="1" applyNumberFormat="1" applyFont="1" applyBorder="1"/>
    <xf numFmtId="171" fontId="0" fillId="0" borderId="23" xfId="1" applyNumberFormat="1" applyFont="1" applyBorder="1"/>
    <xf numFmtId="171" fontId="0" fillId="0" borderId="26" xfId="1" applyNumberFormat="1" applyFont="1" applyBorder="1"/>
    <xf numFmtId="0" fontId="0" fillId="0" borderId="48" xfId="0" applyBorder="1"/>
    <xf numFmtId="0" fontId="2" fillId="0" borderId="48" xfId="0" applyFont="1" applyBorder="1" applyAlignment="1">
      <alignment horizontal="center" wrapText="1"/>
    </xf>
    <xf numFmtId="176" fontId="0" fillId="0" borderId="44" xfId="0" applyNumberFormat="1" applyBorder="1"/>
    <xf numFmtId="176" fontId="0" fillId="4" borderId="51" xfId="0" applyNumberFormat="1" applyFill="1" applyBorder="1"/>
    <xf numFmtId="176" fontId="0" fillId="0" borderId="51" xfId="0" applyNumberFormat="1" applyBorder="1"/>
    <xf numFmtId="176" fontId="0" fillId="0" borderId="66" xfId="0" applyNumberFormat="1" applyBorder="1"/>
    <xf numFmtId="176" fontId="8" fillId="0" borderId="20" xfId="0" applyNumberFormat="1" applyFont="1" applyBorder="1"/>
    <xf numFmtId="0" fontId="8" fillId="0" borderId="49" xfId="0" applyFont="1" applyBorder="1" applyAlignment="1">
      <alignment horizontal="center" vertical="center"/>
    </xf>
    <xf numFmtId="3" fontId="0" fillId="0" borderId="34" xfId="0" applyNumberFormat="1" applyBorder="1"/>
    <xf numFmtId="0" fontId="8" fillId="0" borderId="49" xfId="0" applyFont="1" applyBorder="1" applyAlignment="1">
      <alignment horizontal="center" vertical="center" wrapText="1"/>
    </xf>
    <xf numFmtId="165" fontId="1" fillId="0" borderId="3" xfId="5" applyNumberFormat="1" applyFont="1" applyBorder="1"/>
    <xf numFmtId="165" fontId="1" fillId="4" borderId="3" xfId="5" applyNumberFormat="1" applyFont="1" applyFill="1" applyBorder="1"/>
    <xf numFmtId="165" fontId="1" fillId="0" borderId="63" xfId="5" applyNumberFormat="1" applyFont="1" applyBorder="1"/>
    <xf numFmtId="165" fontId="5" fillId="0" borderId="46" xfId="0" applyNumberFormat="1" applyFont="1" applyBorder="1"/>
    <xf numFmtId="165" fontId="5" fillId="4" borderId="27" xfId="0" applyNumberFormat="1" applyFont="1" applyFill="1" applyBorder="1"/>
    <xf numFmtId="165" fontId="5" fillId="0" borderId="27" xfId="0" applyNumberFormat="1" applyFont="1" applyBorder="1"/>
    <xf numFmtId="165" fontId="5" fillId="0" borderId="27" xfId="0" applyNumberFormat="1" applyFont="1" applyFill="1" applyBorder="1"/>
    <xf numFmtId="165" fontId="5" fillId="0" borderId="19" xfId="0" applyNumberFormat="1" applyFont="1" applyBorder="1"/>
    <xf numFmtId="165" fontId="1" fillId="0" borderId="35" xfId="5" applyNumberFormat="1" applyFont="1" applyBorder="1"/>
    <xf numFmtId="10" fontId="8" fillId="2" borderId="56" xfId="0" applyNumberFormat="1" applyFont="1" applyFill="1" applyBorder="1"/>
    <xf numFmtId="165" fontId="0" fillId="0" borderId="37" xfId="0" applyNumberFormat="1" applyBorder="1"/>
    <xf numFmtId="165" fontId="0" fillId="0" borderId="35" xfId="0" applyNumberFormat="1" applyBorder="1"/>
    <xf numFmtId="165" fontId="0" fillId="0" borderId="46" xfId="0" applyNumberFormat="1" applyBorder="1"/>
    <xf numFmtId="165" fontId="0" fillId="4" borderId="10" xfId="0" applyNumberFormat="1" applyFill="1" applyBorder="1"/>
    <xf numFmtId="165" fontId="0" fillId="4" borderId="3" xfId="0" applyNumberFormat="1" applyFill="1" applyBorder="1"/>
    <xf numFmtId="165" fontId="0" fillId="4" borderId="27" xfId="0" applyNumberFormat="1" applyFill="1" applyBorder="1"/>
    <xf numFmtId="165" fontId="0" fillId="0" borderId="10" xfId="0" applyNumberFormat="1" applyBorder="1"/>
    <xf numFmtId="165" fontId="0" fillId="0" borderId="3" xfId="0" applyNumberFormat="1" applyBorder="1"/>
    <xf numFmtId="165" fontId="0" fillId="0" borderId="27" xfId="0" applyNumberFormat="1" applyBorder="1"/>
    <xf numFmtId="165" fontId="0" fillId="0" borderId="61" xfId="0" applyNumberFormat="1" applyBorder="1"/>
    <xf numFmtId="165" fontId="0" fillId="0" borderId="63" xfId="0" applyNumberFormat="1" applyBorder="1"/>
    <xf numFmtId="165" fontId="0" fillId="0" borderId="64" xfId="0" applyNumberFormat="1" applyBorder="1"/>
    <xf numFmtId="6" fontId="5" fillId="0" borderId="46" xfId="1" applyNumberFormat="1" applyFont="1" applyBorder="1"/>
    <xf numFmtId="6" fontId="5" fillId="4" borderId="27" xfId="1" applyNumberFormat="1" applyFont="1" applyFill="1" applyBorder="1"/>
    <xf numFmtId="6" fontId="5" fillId="0" borderId="27" xfId="1" applyNumberFormat="1" applyFont="1" applyBorder="1"/>
    <xf numFmtId="6" fontId="5" fillId="0" borderId="64" xfId="1" applyNumberFormat="1" applyFont="1" applyBorder="1"/>
    <xf numFmtId="6" fontId="8" fillId="0" borderId="56" xfId="0" applyNumberFormat="1" applyFont="1" applyBorder="1"/>
    <xf numFmtId="171" fontId="0" fillId="0" borderId="34" xfId="1" applyNumberFormat="1" applyFont="1" applyBorder="1"/>
    <xf numFmtId="171" fontId="0" fillId="4" borderId="29" xfId="1" applyNumberFormat="1" applyFont="1" applyFill="1" applyBorder="1"/>
    <xf numFmtId="171" fontId="0" fillId="0" borderId="29" xfId="1" applyNumberFormat="1" applyFont="1" applyBorder="1"/>
    <xf numFmtId="171" fontId="0" fillId="0" borderId="60" xfId="1" applyNumberFormat="1" applyFont="1" applyBorder="1"/>
    <xf numFmtId="171" fontId="8" fillId="0" borderId="28" xfId="1" applyNumberFormat="1" applyFont="1" applyBorder="1"/>
    <xf numFmtId="6" fontId="2" fillId="0" borderId="8" xfId="0" applyNumberFormat="1" applyFont="1" applyBorder="1" applyAlignment="1">
      <alignment horizontal="center" vertical="center" wrapText="1"/>
    </xf>
    <xf numFmtId="6" fontId="1" fillId="0" borderId="37" xfId="5" applyNumberFormat="1" applyFont="1" applyBorder="1"/>
    <xf numFmtId="6" fontId="1" fillId="0" borderId="35" xfId="5" applyNumberFormat="1" applyFont="1" applyBorder="1"/>
    <xf numFmtId="6" fontId="0" fillId="0" borderId="35" xfId="0" applyNumberFormat="1" applyFont="1" applyBorder="1"/>
    <xf numFmtId="6" fontId="8" fillId="2" borderId="56" xfId="5" applyNumberFormat="1" applyFont="1" applyFill="1" applyBorder="1"/>
    <xf numFmtId="9" fontId="8" fillId="0" borderId="56" xfId="2" applyFont="1" applyBorder="1"/>
    <xf numFmtId="166" fontId="8" fillId="2" borderId="56" xfId="2" applyNumberFormat="1" applyFont="1" applyFill="1" applyBorder="1"/>
    <xf numFmtId="0" fontId="8" fillId="0" borderId="65" xfId="0" applyFont="1" applyBorder="1"/>
    <xf numFmtId="6" fontId="8" fillId="0" borderId="65" xfId="0" applyNumberFormat="1" applyFont="1" applyBorder="1"/>
    <xf numFmtId="0" fontId="5" fillId="0" borderId="28" xfId="0" applyFont="1" applyBorder="1" applyAlignment="1">
      <alignment wrapText="1"/>
    </xf>
    <xf numFmtId="0" fontId="2" fillId="0" borderId="17" xfId="0" applyFont="1" applyBorder="1" applyAlignment="1">
      <alignment horizontal="center" vertical="center" wrapText="1"/>
    </xf>
    <xf numFmtId="9" fontId="2" fillId="0" borderId="22" xfId="2" applyFont="1" applyBorder="1"/>
    <xf numFmtId="166" fontId="8" fillId="2" borderId="57" xfId="2" applyNumberFormat="1" applyFont="1" applyFill="1" applyBorder="1"/>
    <xf numFmtId="6" fontId="5" fillId="0" borderId="58" xfId="0" applyNumberFormat="1" applyFont="1" applyBorder="1"/>
    <xf numFmtId="6" fontId="5" fillId="4" borderId="4" xfId="0" applyNumberFormat="1" applyFont="1" applyFill="1" applyBorder="1"/>
    <xf numFmtId="6" fontId="5" fillId="0" borderId="4" xfId="0" applyNumberFormat="1" applyFont="1" applyFill="1" applyBorder="1"/>
    <xf numFmtId="6" fontId="5" fillId="0" borderId="4" xfId="0" applyNumberFormat="1" applyFont="1" applyBorder="1"/>
    <xf numFmtId="6" fontId="5" fillId="0" borderId="67" xfId="0" applyNumberFormat="1" applyFont="1" applyBorder="1"/>
    <xf numFmtId="6" fontId="5" fillId="0" borderId="64" xfId="0" applyNumberFormat="1" applyFont="1" applyBorder="1"/>
    <xf numFmtId="6" fontId="1" fillId="0" borderId="46" xfId="5" applyNumberFormat="1" applyFont="1" applyBorder="1"/>
    <xf numFmtId="6" fontId="1" fillId="4" borderId="27" xfId="5" applyNumberFormat="1" applyFont="1" applyFill="1" applyBorder="1"/>
    <xf numFmtId="6" fontId="1" fillId="0" borderId="27" xfId="5" applyNumberFormat="1" applyFont="1" applyBorder="1"/>
    <xf numFmtId="6" fontId="1" fillId="0" borderId="64" xfId="5" applyNumberFormat="1" applyFont="1" applyBorder="1"/>
    <xf numFmtId="6" fontId="8" fillId="0" borderId="57" xfId="5" applyNumberFormat="1" applyFont="1" applyBorder="1"/>
    <xf numFmtId="0" fontId="0" fillId="0" borderId="23" xfId="0" applyBorder="1"/>
    <xf numFmtId="0" fontId="0" fillId="0" borderId="26" xfId="0" applyBorder="1"/>
    <xf numFmtId="6" fontId="0" fillId="0" borderId="3" xfId="5" applyNumberFormat="1" applyFont="1" applyBorder="1" applyAlignment="1">
      <alignment horizontal="center"/>
    </xf>
    <xf numFmtId="6" fontId="1" fillId="4" borderId="3" xfId="5" applyNumberFormat="1" applyFont="1" applyFill="1" applyBorder="1" applyAlignment="1">
      <alignment horizontal="center"/>
    </xf>
    <xf numFmtId="6" fontId="1" fillId="0" borderId="3" xfId="5" applyNumberFormat="1" applyFont="1" applyBorder="1" applyAlignment="1">
      <alignment horizontal="center"/>
    </xf>
    <xf numFmtId="6" fontId="1" fillId="0" borderId="63" xfId="5" applyNumberFormat="1" applyFont="1" applyBorder="1" applyAlignment="1">
      <alignment horizontal="center"/>
    </xf>
    <xf numFmtId="6" fontId="8" fillId="0" borderId="59" xfId="0" applyNumberFormat="1" applyFont="1" applyBorder="1" applyAlignment="1">
      <alignment horizontal="center"/>
    </xf>
    <xf numFmtId="6" fontId="0" fillId="0" borderId="3" xfId="5" quotePrefix="1" applyNumberFormat="1" applyFont="1" applyBorder="1" applyAlignment="1">
      <alignment horizontal="center"/>
    </xf>
    <xf numFmtId="6" fontId="8" fillId="0" borderId="59" xfId="5" applyNumberFormat="1" applyFont="1" applyBorder="1" applyAlignment="1">
      <alignment horizontal="center"/>
    </xf>
    <xf numFmtId="166" fontId="2" fillId="2" borderId="20" xfId="2" applyNumberFormat="1" applyFont="1" applyFill="1" applyBorder="1" applyAlignment="1">
      <alignment horizontal="center" vertical="center" wrapText="1"/>
    </xf>
    <xf numFmtId="6" fontId="5" fillId="0" borderId="58" xfId="1" applyNumberFormat="1" applyFont="1" applyBorder="1"/>
    <xf numFmtId="6" fontId="5" fillId="4" borderId="4" xfId="1" applyNumberFormat="1" applyFont="1" applyFill="1" applyBorder="1"/>
    <xf numFmtId="6" fontId="5" fillId="0" borderId="4" xfId="1" applyNumberFormat="1" applyFont="1" applyBorder="1"/>
    <xf numFmtId="6" fontId="5" fillId="0" borderId="67" xfId="1" applyNumberFormat="1" applyFont="1" applyBorder="1"/>
    <xf numFmtId="6" fontId="2" fillId="0" borderId="65" xfId="0" applyNumberFormat="1" applyFont="1" applyBorder="1"/>
    <xf numFmtId="9" fontId="2" fillId="0" borderId="28" xfId="0" applyNumberFormat="1" applyFont="1" applyBorder="1" applyAlignment="1">
      <alignment horizontal="right"/>
    </xf>
    <xf numFmtId="6" fontId="0" fillId="0" borderId="29" xfId="0" applyNumberFormat="1" applyBorder="1"/>
    <xf numFmtId="6" fontId="0" fillId="4" borderId="29" xfId="0" applyNumberFormat="1" applyFill="1" applyBorder="1"/>
    <xf numFmtId="6" fontId="0" fillId="0" borderId="60" xfId="0" applyNumberFormat="1" applyBorder="1"/>
    <xf numFmtId="6" fontId="8" fillId="0" borderId="28" xfId="0" applyNumberFormat="1" applyFont="1" applyBorder="1"/>
    <xf numFmtId="176" fontId="0" fillId="0" borderId="34" xfId="1" applyNumberFormat="1" applyFont="1" applyBorder="1"/>
    <xf numFmtId="176" fontId="0" fillId="4" borderId="29" xfId="1" applyNumberFormat="1" applyFont="1" applyFill="1" applyBorder="1"/>
    <xf numFmtId="176" fontId="0" fillId="0" borderId="29" xfId="1" applyNumberFormat="1" applyFont="1" applyBorder="1"/>
    <xf numFmtId="176" fontId="0" fillId="0" borderId="60" xfId="1" applyNumberFormat="1" applyFont="1" applyBorder="1"/>
    <xf numFmtId="176" fontId="8" fillId="0" borderId="28" xfId="1" applyNumberFormat="1" applyFont="1" applyBorder="1"/>
    <xf numFmtId="6" fontId="0" fillId="0" borderId="34" xfId="0" applyNumberFormat="1" applyBorder="1"/>
    <xf numFmtId="165" fontId="0" fillId="0" borderId="56" xfId="5" applyNumberFormat="1" applyFont="1" applyBorder="1"/>
    <xf numFmtId="166" fontId="8" fillId="0" borderId="28" xfId="0" applyNumberFormat="1" applyFont="1" applyBorder="1"/>
    <xf numFmtId="166" fontId="8" fillId="2" borderId="21" xfId="0" applyNumberFormat="1" applyFont="1" applyFill="1" applyBorder="1"/>
    <xf numFmtId="175" fontId="8" fillId="0" borderId="28" xfId="0" applyNumberFormat="1" applyFont="1" applyBorder="1"/>
    <xf numFmtId="166" fontId="8" fillId="0" borderId="20" xfId="0" applyNumberFormat="1" applyFont="1" applyBorder="1"/>
    <xf numFmtId="175" fontId="8" fillId="0" borderId="22" xfId="0" applyNumberFormat="1" applyFont="1" applyBorder="1"/>
    <xf numFmtId="166" fontId="8" fillId="2" borderId="28" xfId="0" applyNumberFormat="1" applyFont="1" applyFill="1" applyBorder="1"/>
    <xf numFmtId="9" fontId="8" fillId="0" borderId="20" xfId="0" applyNumberFormat="1" applyFont="1" applyBorder="1"/>
    <xf numFmtId="175" fontId="2" fillId="0" borderId="22" xfId="0" applyNumberFormat="1" applyFont="1" applyBorder="1"/>
    <xf numFmtId="166" fontId="2" fillId="0" borderId="28" xfId="0" applyNumberFormat="1" applyFont="1" applyBorder="1"/>
    <xf numFmtId="0" fontId="2" fillId="2" borderId="28" xfId="0" applyFont="1" applyFill="1" applyBorder="1" applyAlignment="1">
      <alignment horizontal="center" vertical="center" wrapText="1"/>
    </xf>
    <xf numFmtId="6" fontId="0" fillId="0" borderId="58" xfId="0" applyNumberFormat="1" applyBorder="1"/>
    <xf numFmtId="6" fontId="0" fillId="4" borderId="4" xfId="0" applyNumberFormat="1" applyFill="1" applyBorder="1"/>
    <xf numFmtId="6" fontId="0" fillId="0" borderId="4" xfId="0" applyNumberFormat="1" applyBorder="1"/>
    <xf numFmtId="6" fontId="0" fillId="0" borderId="67" xfId="0" applyNumberFormat="1" applyBorder="1"/>
    <xf numFmtId="0" fontId="8" fillId="0" borderId="20" xfId="0" applyFont="1" applyBorder="1"/>
    <xf numFmtId="165" fontId="0" fillId="0" borderId="46" xfId="0" applyNumberFormat="1" applyFill="1" applyBorder="1"/>
    <xf numFmtId="164" fontId="3" fillId="0" borderId="37" xfId="1" applyNumberFormat="1" applyFont="1" applyFill="1" applyBorder="1"/>
    <xf numFmtId="165" fontId="0" fillId="0" borderId="35" xfId="0" applyNumberFormat="1" applyFill="1" applyBorder="1"/>
    <xf numFmtId="167" fontId="0" fillId="0" borderId="58" xfId="0" applyNumberFormat="1" applyFill="1" applyBorder="1"/>
    <xf numFmtId="164" fontId="0" fillId="0" borderId="35" xfId="1" applyNumberFormat="1" applyFont="1" applyFill="1" applyBorder="1"/>
    <xf numFmtId="10" fontId="12" fillId="0" borderId="0" xfId="0" applyNumberFormat="1" applyFont="1" applyFill="1" applyBorder="1" applyAlignment="1">
      <alignment horizontal="left"/>
    </xf>
    <xf numFmtId="165" fontId="12" fillId="0" borderId="26" xfId="5" applyNumberFormat="1" applyFont="1" applyFill="1" applyBorder="1"/>
    <xf numFmtId="0" fontId="0" fillId="0" borderId="0" xfId="0" applyFont="1" applyFill="1"/>
    <xf numFmtId="3" fontId="8" fillId="0" borderId="10" xfId="0" applyNumberFormat="1" applyFont="1" applyFill="1" applyBorder="1"/>
    <xf numFmtId="3" fontId="8" fillId="0" borderId="3" xfId="0" applyNumberFormat="1" applyFont="1" applyFill="1" applyBorder="1"/>
    <xf numFmtId="10" fontId="9" fillId="0" borderId="3" xfId="2" applyNumberFormat="1" applyFont="1" applyFill="1" applyBorder="1"/>
    <xf numFmtId="164" fontId="9" fillId="0" borderId="10" xfId="0" applyNumberFormat="1" applyFont="1" applyFill="1" applyBorder="1"/>
    <xf numFmtId="0" fontId="9" fillId="0" borderId="30" xfId="2" applyNumberFormat="1" applyFont="1" applyFill="1" applyBorder="1"/>
    <xf numFmtId="164" fontId="9" fillId="0" borderId="4" xfId="1" applyNumberFormat="1" applyFont="1" applyFill="1" applyBorder="1"/>
    <xf numFmtId="9" fontId="9" fillId="0" borderId="30" xfId="2" applyFont="1" applyFill="1" applyBorder="1"/>
    <xf numFmtId="164" fontId="9" fillId="0" borderId="10" xfId="0" applyNumberFormat="1" applyFont="1" applyFill="1" applyBorder="1" applyAlignment="1">
      <alignment horizontal="right"/>
    </xf>
    <xf numFmtId="164" fontId="9" fillId="0" borderId="27" xfId="1" applyNumberFormat="1" applyFont="1" applyFill="1" applyBorder="1"/>
    <xf numFmtId="164" fontId="8" fillId="0" borderId="29" xfId="0" applyNumberFormat="1" applyFont="1" applyFill="1" applyBorder="1" applyAlignment="1">
      <alignment horizontal="right"/>
    </xf>
    <xf numFmtId="0" fontId="15" fillId="0" borderId="0" xfId="0" applyFont="1" applyAlignment="1">
      <alignment horizontal="center"/>
    </xf>
    <xf numFmtId="167" fontId="15" fillId="0" borderId="0" xfId="0" applyNumberFormat="1" applyFont="1" applyBorder="1" applyAlignment="1">
      <alignment horizontal="center"/>
    </xf>
    <xf numFmtId="167" fontId="15" fillId="0" borderId="0" xfId="5" applyNumberFormat="1" applyFont="1" applyAlignment="1">
      <alignment horizontal="center"/>
    </xf>
    <xf numFmtId="168" fontId="15" fillId="0" borderId="0" xfId="5" applyNumberFormat="1" applyFont="1" applyAlignment="1">
      <alignment horizontal="center"/>
    </xf>
    <xf numFmtId="168" fontId="15" fillId="0" borderId="0" xfId="5" applyNumberFormat="1" applyFont="1" applyFill="1" applyBorder="1" applyAlignment="1">
      <alignment horizontal="center" vertical="top"/>
    </xf>
    <xf numFmtId="167" fontId="15" fillId="0" borderId="0" xfId="0" applyNumberFormat="1" applyFont="1" applyAlignment="1">
      <alignment horizontal="center"/>
    </xf>
    <xf numFmtId="168" fontId="15" fillId="0" borderId="0" xfId="0" applyNumberFormat="1" applyFont="1" applyAlignment="1">
      <alignment horizontal="center"/>
    </xf>
    <xf numFmtId="168" fontId="15" fillId="0" borderId="0" xfId="5" applyNumberFormat="1" applyFont="1" applyBorder="1" applyAlignment="1">
      <alignment horizontal="center"/>
    </xf>
    <xf numFmtId="167" fontId="15" fillId="0" borderId="0" xfId="1" applyNumberFormat="1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167" fontId="15" fillId="0" borderId="16" xfId="0" applyNumberFormat="1" applyFont="1" applyBorder="1" applyAlignment="1">
      <alignment horizontal="center"/>
    </xf>
    <xf numFmtId="167" fontId="15" fillId="0" borderId="16" xfId="5" applyNumberFormat="1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24" xfId="0" applyFont="1" applyBorder="1"/>
    <xf numFmtId="0" fontId="15" fillId="0" borderId="25" xfId="0" applyFont="1" applyBorder="1"/>
    <xf numFmtId="0" fontId="15" fillId="0" borderId="25" xfId="0" applyFont="1" applyBorder="1" applyAlignment="1">
      <alignment horizontal="center"/>
    </xf>
    <xf numFmtId="167" fontId="15" fillId="0" borderId="25" xfId="0" applyNumberFormat="1" applyFont="1" applyBorder="1" applyAlignment="1">
      <alignment horizontal="center"/>
    </xf>
    <xf numFmtId="167" fontId="15" fillId="0" borderId="25" xfId="5" applyNumberFormat="1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43" fontId="0" fillId="2" borderId="0" xfId="1" applyFont="1" applyFill="1"/>
    <xf numFmtId="180" fontId="0" fillId="0" borderId="0" xfId="0" applyNumberFormat="1"/>
    <xf numFmtId="180" fontId="5" fillId="0" borderId="0" xfId="0" applyNumberFormat="1" applyFont="1" applyAlignment="1">
      <alignment horizontal="center" vertical="center" wrapText="1"/>
    </xf>
    <xf numFmtId="172" fontId="5" fillId="0" borderId="0" xfId="0" applyNumberFormat="1" applyFont="1" applyAlignment="1">
      <alignment horizontal="center" vertical="center" wrapText="1"/>
    </xf>
    <xf numFmtId="177" fontId="0" fillId="4" borderId="29" xfId="0" applyNumberFormat="1" applyFill="1" applyBorder="1"/>
    <xf numFmtId="177" fontId="0" fillId="0" borderId="29" xfId="0" applyNumberFormat="1" applyBorder="1"/>
    <xf numFmtId="177" fontId="0" fillId="0" borderId="60" xfId="0" applyNumberFormat="1" applyBorder="1"/>
    <xf numFmtId="177" fontId="8" fillId="0" borderId="28" xfId="0" applyNumberFormat="1" applyFont="1" applyBorder="1"/>
    <xf numFmtId="5" fontId="8" fillId="0" borderId="56" xfId="5" applyNumberFormat="1" applyFont="1" applyBorder="1"/>
    <xf numFmtId="5" fontId="8" fillId="0" borderId="59" xfId="5" applyNumberFormat="1" applyFont="1" applyBorder="1"/>
    <xf numFmtId="5" fontId="2" fillId="0" borderId="57" xfId="0" applyNumberFormat="1" applyFont="1" applyBorder="1"/>
    <xf numFmtId="165" fontId="8" fillId="0" borderId="59" xfId="0" applyNumberFormat="1" applyFont="1" applyBorder="1"/>
    <xf numFmtId="165" fontId="8" fillId="0" borderId="57" xfId="0" applyNumberFormat="1" applyFont="1" applyBorder="1"/>
    <xf numFmtId="6" fontId="8" fillId="0" borderId="56" xfId="0" applyNumberFormat="1" applyFont="1" applyBorder="1" applyAlignment="1">
      <alignment horizontal="right"/>
    </xf>
    <xf numFmtId="0" fontId="19" fillId="0" borderId="15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wrapText="1"/>
    </xf>
    <xf numFmtId="0" fontId="19" fillId="0" borderId="15" xfId="0" applyFont="1" applyFill="1" applyBorder="1" applyAlignment="1">
      <alignment horizontal="left" vertical="center"/>
    </xf>
    <xf numFmtId="0" fontId="0" fillId="0" borderId="0" xfId="0" applyFont="1" applyFill="1" applyBorder="1" applyAlignment="1"/>
    <xf numFmtId="0" fontId="0" fillId="0" borderId="25" xfId="0" applyFont="1" applyFill="1" applyBorder="1" applyAlignment="1"/>
    <xf numFmtId="0" fontId="0" fillId="0" borderId="0" xfId="0" applyFont="1" applyFill="1" applyAlignment="1"/>
    <xf numFmtId="0" fontId="19" fillId="0" borderId="24" xfId="0" applyFont="1" applyFill="1" applyBorder="1" applyAlignment="1">
      <alignment horizontal="left" vertical="center"/>
    </xf>
    <xf numFmtId="165" fontId="19" fillId="0" borderId="26" xfId="5" applyNumberFormat="1" applyFont="1" applyFill="1" applyBorder="1"/>
    <xf numFmtId="0" fontId="0" fillId="0" borderId="21" xfId="0" applyFont="1" applyFill="1" applyBorder="1" applyAlignment="1"/>
    <xf numFmtId="164" fontId="1" fillId="0" borderId="0" xfId="1" applyNumberFormat="1" applyFont="1" applyFill="1"/>
    <xf numFmtId="0" fontId="12" fillId="0" borderId="0" xfId="0" applyFont="1" applyFill="1" applyBorder="1" applyAlignment="1">
      <alignment horizontal="left" vertical="center"/>
    </xf>
    <xf numFmtId="165" fontId="19" fillId="0" borderId="0" xfId="5" applyNumberFormat="1" applyFont="1" applyFill="1" applyBorder="1"/>
    <xf numFmtId="0" fontId="19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/>
    <xf numFmtId="0" fontId="12" fillId="0" borderId="25" xfId="0" applyFont="1" applyFill="1" applyBorder="1" applyAlignment="1"/>
    <xf numFmtId="164" fontId="12" fillId="0" borderId="0" xfId="1" applyNumberFormat="1" applyFont="1" applyFill="1"/>
    <xf numFmtId="0" fontId="12" fillId="0" borderId="17" xfId="0" applyFont="1" applyFill="1" applyBorder="1"/>
    <xf numFmtId="166" fontId="12" fillId="0" borderId="0" xfId="0" applyNumberFormat="1" applyFont="1" applyFill="1"/>
    <xf numFmtId="0" fontId="12" fillId="0" borderId="22" xfId="0" applyFont="1" applyFill="1" applyBorder="1"/>
    <xf numFmtId="0" fontId="12" fillId="0" borderId="0" xfId="0" applyFont="1" applyFill="1" applyAlignment="1">
      <alignment horizontal="center"/>
    </xf>
    <xf numFmtId="0" fontId="21" fillId="0" borderId="0" xfId="3" applyFont="1" applyFill="1"/>
    <xf numFmtId="164" fontId="12" fillId="0" borderId="16" xfId="1" applyNumberFormat="1" applyFont="1" applyFill="1" applyBorder="1"/>
    <xf numFmtId="164" fontId="12" fillId="0" borderId="0" xfId="1" applyNumberFormat="1" applyFont="1" applyFill="1" applyBorder="1"/>
    <xf numFmtId="0" fontId="12" fillId="0" borderId="23" xfId="0" applyFont="1" applyFill="1" applyBorder="1" applyAlignment="1">
      <alignment horizontal="center"/>
    </xf>
    <xf numFmtId="164" fontId="12" fillId="0" borderId="0" xfId="1" applyNumberFormat="1" applyFont="1" applyFill="1" applyBorder="1" applyAlignment="1"/>
    <xf numFmtId="164" fontId="12" fillId="0" borderId="25" xfId="1" applyNumberFormat="1" applyFont="1" applyFill="1" applyBorder="1" applyAlignment="1"/>
    <xf numFmtId="0" fontId="12" fillId="0" borderId="26" xfId="0" applyFont="1" applyFill="1" applyBorder="1" applyAlignment="1">
      <alignment horizontal="center"/>
    </xf>
    <xf numFmtId="164" fontId="12" fillId="0" borderId="25" xfId="1" applyNumberFormat="1" applyFont="1" applyFill="1" applyBorder="1"/>
    <xf numFmtId="164" fontId="12" fillId="0" borderId="0" xfId="0" applyNumberFormat="1" applyFont="1" applyFill="1"/>
    <xf numFmtId="0" fontId="0" fillId="0" borderId="0" xfId="0" applyFont="1" applyFill="1" applyAlignment="1">
      <alignment horizontal="center"/>
    </xf>
    <xf numFmtId="0" fontId="19" fillId="0" borderId="15" xfId="0" applyFont="1" applyFill="1" applyBorder="1" applyAlignment="1"/>
    <xf numFmtId="0" fontId="19" fillId="0" borderId="15" xfId="0" applyFont="1" applyFill="1" applyBorder="1" applyAlignment="1">
      <alignment horizontal="left"/>
    </xf>
    <xf numFmtId="0" fontId="19" fillId="0" borderId="16" xfId="0" applyFont="1" applyFill="1" applyBorder="1" applyAlignment="1">
      <alignment horizontal="center"/>
    </xf>
    <xf numFmtId="0" fontId="19" fillId="0" borderId="17" xfId="0" applyFont="1" applyFill="1" applyBorder="1" applyAlignment="1">
      <alignment horizontal="center" wrapText="1"/>
    </xf>
    <xf numFmtId="9" fontId="19" fillId="0" borderId="17" xfId="0" applyNumberFormat="1" applyFont="1" applyFill="1" applyBorder="1" applyAlignment="1">
      <alignment vertical="center" wrapText="1"/>
    </xf>
    <xf numFmtId="164" fontId="19" fillId="0" borderId="17" xfId="0" applyNumberFormat="1" applyFont="1" applyFill="1" applyBorder="1" applyAlignment="1">
      <alignment horizontal="center" vertical="center"/>
    </xf>
    <xf numFmtId="9" fontId="19" fillId="0" borderId="17" xfId="0" applyNumberFormat="1" applyFont="1" applyFill="1" applyBorder="1" applyAlignment="1">
      <alignment vertical="center"/>
    </xf>
    <xf numFmtId="164" fontId="19" fillId="0" borderId="15" xfId="0" applyNumberFormat="1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wrapText="1"/>
    </xf>
    <xf numFmtId="0" fontId="12" fillId="0" borderId="15" xfId="0" applyFont="1" applyFill="1" applyBorder="1" applyAlignment="1">
      <alignment horizontal="center"/>
    </xf>
    <xf numFmtId="164" fontId="12" fillId="0" borderId="15" xfId="0" applyNumberFormat="1" applyFont="1" applyFill="1" applyBorder="1" applyAlignment="1">
      <alignment horizontal="center"/>
    </xf>
    <xf numFmtId="0" fontId="12" fillId="0" borderId="24" xfId="0" applyFont="1" applyFill="1" applyBorder="1" applyAlignment="1">
      <alignment horizontal="center" wrapText="1"/>
    </xf>
    <xf numFmtId="164" fontId="12" fillId="0" borderId="24" xfId="0" applyNumberFormat="1" applyFont="1" applyFill="1" applyBorder="1" applyAlignment="1">
      <alignment horizontal="center" wrapText="1"/>
    </xf>
    <xf numFmtId="0" fontId="20" fillId="0" borderId="15" xfId="0" applyFont="1" applyFill="1" applyBorder="1" applyAlignment="1">
      <alignment horizontal="center" wrapText="1"/>
    </xf>
    <xf numFmtId="0" fontId="0" fillId="0" borderId="0" xfId="0" applyFont="1" applyFill="1" applyBorder="1"/>
    <xf numFmtId="0" fontId="20" fillId="0" borderId="24" xfId="0" applyFont="1" applyFill="1" applyBorder="1" applyAlignment="1">
      <alignment horizontal="center" wrapText="1"/>
    </xf>
    <xf numFmtId="165" fontId="12" fillId="0" borderId="0" xfId="5" applyNumberFormat="1" applyFont="1" applyFill="1"/>
    <xf numFmtId="0" fontId="19" fillId="0" borderId="15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/>
    </xf>
    <xf numFmtId="0" fontId="9" fillId="0" borderId="9" xfId="0" applyFont="1" applyFill="1" applyBorder="1"/>
    <xf numFmtId="0" fontId="9" fillId="0" borderId="33" xfId="0" quotePrefix="1" applyFont="1" applyFill="1" applyBorder="1" applyAlignment="1">
      <alignment horizontal="center" vertical="center"/>
    </xf>
    <xf numFmtId="0" fontId="9" fillId="0" borderId="35" xfId="0" quotePrefix="1" applyFont="1" applyFill="1" applyBorder="1" applyAlignment="1">
      <alignment horizontal="center" vertical="center" wrapText="1"/>
    </xf>
    <xf numFmtId="0" fontId="9" fillId="0" borderId="37" xfId="0" quotePrefix="1" applyFont="1" applyFill="1" applyBorder="1" applyAlignment="1">
      <alignment horizontal="center" vertical="center" wrapText="1"/>
    </xf>
    <xf numFmtId="0" fontId="9" fillId="0" borderId="3" xfId="0" quotePrefix="1" applyFont="1" applyFill="1" applyBorder="1" applyAlignment="1">
      <alignment horizontal="center" vertical="center" wrapText="1"/>
    </xf>
    <xf numFmtId="0" fontId="9" fillId="0" borderId="32" xfId="0" quotePrefix="1" applyFont="1" applyFill="1" applyBorder="1" applyAlignment="1">
      <alignment horizontal="center" vertical="center" wrapText="1"/>
    </xf>
    <xf numFmtId="0" fontId="9" fillId="0" borderId="44" xfId="0" quotePrefix="1" applyFont="1" applyFill="1" applyBorder="1" applyAlignment="1">
      <alignment horizontal="center" vertical="center" wrapText="1"/>
    </xf>
    <xf numFmtId="0" fontId="9" fillId="0" borderId="46" xfId="0" quotePrefix="1" applyFont="1" applyFill="1" applyBorder="1" applyAlignment="1">
      <alignment horizontal="center" vertical="center" wrapText="1"/>
    </xf>
    <xf numFmtId="0" fontId="9" fillId="0" borderId="34" xfId="0" quotePrefix="1" applyNumberFormat="1" applyFont="1" applyFill="1" applyBorder="1" applyAlignment="1">
      <alignment horizontal="center" vertical="center" wrapText="1"/>
    </xf>
    <xf numFmtId="0" fontId="9" fillId="0" borderId="33" xfId="0" quotePrefix="1" applyFont="1" applyFill="1" applyBorder="1" applyAlignment="1">
      <alignment horizontal="center" vertical="center" wrapText="1"/>
    </xf>
    <xf numFmtId="166" fontId="9" fillId="0" borderId="35" xfId="0" quotePrefix="1" applyNumberFormat="1" applyFont="1" applyFill="1" applyBorder="1" applyAlignment="1">
      <alignment horizontal="center" vertical="center" wrapText="1"/>
    </xf>
    <xf numFmtId="0" fontId="9" fillId="0" borderId="34" xfId="0" quotePrefix="1" applyFont="1" applyFill="1" applyBorder="1" applyAlignment="1">
      <alignment horizontal="center" vertical="center"/>
    </xf>
    <xf numFmtId="0" fontId="9" fillId="0" borderId="53" xfId="0" quotePrefix="1" applyFont="1" applyFill="1" applyBorder="1" applyAlignment="1">
      <alignment horizontal="center" vertical="center" wrapText="1"/>
    </xf>
    <xf numFmtId="0" fontId="9" fillId="0" borderId="54" xfId="0" quotePrefix="1" applyFont="1" applyFill="1" applyBorder="1" applyAlignment="1">
      <alignment horizontal="center" vertical="center" wrapText="1"/>
    </xf>
    <xf numFmtId="0" fontId="9" fillId="0" borderId="19" xfId="0" quotePrefix="1" applyFont="1" applyFill="1" applyBorder="1" applyAlignment="1">
      <alignment horizontal="center" vertical="center" wrapText="1"/>
    </xf>
    <xf numFmtId="0" fontId="9" fillId="0" borderId="58" xfId="0" quotePrefix="1" applyFont="1" applyFill="1" applyBorder="1" applyAlignment="1">
      <alignment horizontal="center" vertical="center" wrapText="1"/>
    </xf>
    <xf numFmtId="165" fontId="0" fillId="0" borderId="34" xfId="0" applyNumberFormat="1" applyFill="1" applyBorder="1"/>
    <xf numFmtId="0" fontId="9" fillId="0" borderId="36" xfId="0" quotePrefix="1" applyFont="1" applyFill="1" applyBorder="1" applyAlignment="1">
      <alignment horizontal="center" vertical="center" wrapText="1"/>
    </xf>
    <xf numFmtId="0" fontId="8" fillId="0" borderId="34" xfId="0" quotePrefix="1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164" fontId="5" fillId="0" borderId="55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164" fontId="8" fillId="0" borderId="37" xfId="0" quotePrefix="1" applyNumberFormat="1" applyFont="1" applyFill="1" applyBorder="1" applyAlignment="1">
      <alignment horizontal="center" vertical="center" wrapText="1"/>
    </xf>
    <xf numFmtId="0" fontId="8" fillId="0" borderId="35" xfId="0" quotePrefix="1" applyFont="1" applyFill="1" applyBorder="1" applyAlignment="1">
      <alignment horizontal="center" vertical="center" wrapText="1"/>
    </xf>
    <xf numFmtId="0" fontId="8" fillId="0" borderId="58" xfId="0" quotePrefix="1" applyFont="1" applyFill="1" applyBorder="1" applyAlignment="1">
      <alignment horizontal="center" vertical="center" wrapText="1"/>
    </xf>
    <xf numFmtId="164" fontId="8" fillId="0" borderId="35" xfId="0" quotePrefix="1" applyNumberFormat="1" applyFont="1" applyFill="1" applyBorder="1" applyAlignment="1">
      <alignment horizontal="center" vertical="center" wrapText="1"/>
    </xf>
    <xf numFmtId="0" fontId="8" fillId="0" borderId="4" xfId="0" quotePrefix="1" applyFont="1" applyFill="1" applyBorder="1" applyAlignment="1">
      <alignment horizontal="center" vertical="center" wrapText="1"/>
    </xf>
    <xf numFmtId="165" fontId="0" fillId="0" borderId="58" xfId="0" applyNumberFormat="1" applyFill="1" applyBorder="1"/>
    <xf numFmtId="0" fontId="4" fillId="0" borderId="49" xfId="0" applyFont="1" applyFill="1" applyBorder="1" applyAlignment="1">
      <alignment horizontal="center" wrapText="1"/>
    </xf>
    <xf numFmtId="0" fontId="5" fillId="0" borderId="49" xfId="0" applyFont="1" applyFill="1" applyBorder="1" applyAlignment="1">
      <alignment horizontal="center" wrapText="1"/>
    </xf>
    <xf numFmtId="0" fontId="9" fillId="0" borderId="18" xfId="0" quotePrefix="1" applyFont="1" applyFill="1" applyBorder="1" applyAlignment="1">
      <alignment horizontal="center" wrapText="1"/>
    </xf>
    <xf numFmtId="0" fontId="8" fillId="0" borderId="18" xfId="0" quotePrefix="1" applyFont="1" applyFill="1" applyBorder="1" applyAlignment="1">
      <alignment horizontal="center" wrapText="1"/>
    </xf>
    <xf numFmtId="0" fontId="8" fillId="0" borderId="47" xfId="0" quotePrefix="1" applyFont="1" applyFill="1" applyBorder="1" applyAlignment="1">
      <alignment horizontal="center" wrapText="1"/>
    </xf>
    <xf numFmtId="0" fontId="8" fillId="0" borderId="29" xfId="0" quotePrefix="1" applyFont="1" applyFill="1" applyBorder="1" applyAlignment="1">
      <alignment horizontal="center" wrapText="1"/>
    </xf>
    <xf numFmtId="0" fontId="8" fillId="0" borderId="34" xfId="0" quotePrefix="1" applyFont="1" applyBorder="1" applyAlignment="1">
      <alignment horizontal="center" vertical="center"/>
    </xf>
    <xf numFmtId="0" fontId="8" fillId="0" borderId="34" xfId="0" quotePrefix="1" applyFont="1" applyBorder="1" applyAlignment="1">
      <alignment horizontal="center" vertical="center" wrapText="1"/>
    </xf>
    <xf numFmtId="0" fontId="8" fillId="0" borderId="37" xfId="0" quotePrefix="1" applyFont="1" applyBorder="1" applyAlignment="1">
      <alignment horizontal="center" vertical="center" wrapText="1"/>
    </xf>
    <xf numFmtId="0" fontId="8" fillId="0" borderId="35" xfId="0" quotePrefix="1" applyFont="1" applyBorder="1" applyAlignment="1">
      <alignment horizontal="center" vertical="center" wrapText="1"/>
    </xf>
    <xf numFmtId="0" fontId="8" fillId="0" borderId="46" xfId="0" quotePrefix="1" applyFont="1" applyBorder="1" applyAlignment="1">
      <alignment horizontal="center" vertical="center" wrapText="1"/>
    </xf>
    <xf numFmtId="164" fontId="8" fillId="0" borderId="37" xfId="1" quotePrefix="1" applyNumberFormat="1" applyFont="1" applyBorder="1" applyAlignment="1">
      <alignment horizontal="center" vertical="center"/>
    </xf>
    <xf numFmtId="0" fontId="8" fillId="0" borderId="58" xfId="0" quotePrefix="1" applyFont="1" applyBorder="1" applyAlignment="1">
      <alignment horizontal="center" vertical="center" wrapText="1"/>
    </xf>
    <xf numFmtId="38" fontId="8" fillId="0" borderId="46" xfId="0" quotePrefix="1" applyNumberFormat="1" applyFont="1" applyBorder="1" applyAlignment="1">
      <alignment horizontal="center" vertical="center" wrapText="1"/>
    </xf>
    <xf numFmtId="176" fontId="8" fillId="0" borderId="37" xfId="1" quotePrefix="1" applyNumberFormat="1" applyFont="1" applyBorder="1" applyAlignment="1">
      <alignment horizontal="center" vertical="center"/>
    </xf>
    <xf numFmtId="176" fontId="8" fillId="0" borderId="58" xfId="0" quotePrefix="1" applyNumberFormat="1" applyFont="1" applyBorder="1" applyAlignment="1">
      <alignment horizontal="center" vertical="center" wrapText="1"/>
    </xf>
    <xf numFmtId="0" fontId="8" fillId="0" borderId="34" xfId="0" quotePrefix="1" applyFont="1" applyFill="1" applyBorder="1" applyAlignment="1">
      <alignment horizontal="center" wrapText="1"/>
    </xf>
    <xf numFmtId="0" fontId="9" fillId="0" borderId="44" xfId="0" quotePrefix="1" applyFont="1" applyFill="1" applyBorder="1" applyAlignment="1">
      <alignment horizontal="center" vertical="center"/>
    </xf>
    <xf numFmtId="0" fontId="9" fillId="0" borderId="23" xfId="0" quotePrefix="1" applyFont="1" applyFill="1" applyBorder="1" applyAlignment="1">
      <alignment horizontal="center" vertical="center" wrapText="1"/>
    </xf>
    <xf numFmtId="0" fontId="9" fillId="0" borderId="47" xfId="0" quotePrefix="1" applyFont="1" applyFill="1" applyBorder="1" applyAlignment="1">
      <alignment horizontal="center" vertical="center" wrapText="1"/>
    </xf>
    <xf numFmtId="1" fontId="0" fillId="0" borderId="35" xfId="0" applyNumberFormat="1" applyFill="1" applyBorder="1"/>
    <xf numFmtId="1" fontId="0" fillId="0" borderId="32" xfId="0" applyNumberFormat="1" applyFill="1" applyBorder="1"/>
    <xf numFmtId="165" fontId="0" fillId="0" borderId="32" xfId="0" applyNumberFormat="1" applyFill="1" applyBorder="1"/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171" fontId="2" fillId="0" borderId="8" xfId="1" applyNumberFormat="1" applyFont="1" applyBorder="1" applyAlignment="1">
      <alignment horizontal="center" vertical="center" wrapText="1"/>
    </xf>
    <xf numFmtId="0" fontId="8" fillId="0" borderId="8" xfId="0" quotePrefix="1" applyFont="1" applyBorder="1" applyAlignment="1">
      <alignment horizontal="center" vertical="center"/>
    </xf>
    <xf numFmtId="0" fontId="8" fillId="0" borderId="15" xfId="0" quotePrefix="1" applyFont="1" applyBorder="1" applyAlignment="1">
      <alignment horizontal="center" vertical="center" wrapText="1"/>
    </xf>
    <xf numFmtId="171" fontId="8" fillId="0" borderId="15" xfId="1" quotePrefix="1" applyNumberFormat="1" applyFont="1" applyBorder="1" applyAlignment="1">
      <alignment horizontal="center" vertical="center" wrapText="1"/>
    </xf>
    <xf numFmtId="0" fontId="8" fillId="0" borderId="16" xfId="0" quotePrefix="1" applyFont="1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8" fillId="0" borderId="15" xfId="0" quotePrefix="1" applyFont="1" applyBorder="1" applyAlignment="1">
      <alignment horizontal="center" vertical="center"/>
    </xf>
    <xf numFmtId="0" fontId="8" fillId="0" borderId="17" xfId="0" quotePrefix="1" applyFont="1" applyBorder="1" applyAlignment="1">
      <alignment horizontal="center" vertical="center" wrapText="1"/>
    </xf>
    <xf numFmtId="0" fontId="8" fillId="0" borderId="8" xfId="0" quotePrefix="1" applyFont="1" applyBorder="1" applyAlignment="1">
      <alignment horizont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8" xfId="0" quotePrefix="1" applyFont="1" applyBorder="1" applyAlignment="1">
      <alignment horizontal="center" vertical="center" wrapText="1"/>
    </xf>
    <xf numFmtId="0" fontId="8" fillId="0" borderId="28" xfId="0" quotePrefix="1" applyFont="1" applyBorder="1" applyAlignment="1">
      <alignment horizontal="center" vertical="center"/>
    </xf>
    <xf numFmtId="0" fontId="8" fillId="0" borderId="56" xfId="0" quotePrefix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  <xf numFmtId="171" fontId="8" fillId="0" borderId="8" xfId="1" quotePrefix="1" applyNumberFormat="1" applyFont="1" applyBorder="1" applyAlignment="1">
      <alignment horizontal="center" vertical="center" wrapText="1"/>
    </xf>
    <xf numFmtId="0" fontId="2" fillId="0" borderId="28" xfId="0" quotePrefix="1" applyFont="1" applyBorder="1" applyAlignment="1">
      <alignment horizontal="center" vertical="center" wrapText="1"/>
    </xf>
    <xf numFmtId="0" fontId="2" fillId="0" borderId="22" xfId="0" quotePrefix="1" applyFont="1" applyBorder="1" applyAlignment="1">
      <alignment horizontal="center" vertical="center" wrapText="1"/>
    </xf>
    <xf numFmtId="0" fontId="2" fillId="0" borderId="22" xfId="0" quotePrefix="1" applyFont="1" applyBorder="1" applyAlignment="1">
      <alignment horizontal="center" wrapText="1"/>
    </xf>
    <xf numFmtId="0" fontId="2" fillId="0" borderId="26" xfId="0" quotePrefix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7" xfId="0" quotePrefix="1" applyFont="1" applyBorder="1" applyAlignment="1">
      <alignment horizontal="center" wrapText="1"/>
    </xf>
    <xf numFmtId="0" fontId="8" fillId="0" borderId="22" xfId="0" quotePrefix="1" applyFont="1" applyBorder="1" applyAlignment="1">
      <alignment horizontal="center" vertical="center" wrapText="1"/>
    </xf>
    <xf numFmtId="0" fontId="8" fillId="0" borderId="59" xfId="0" quotePrefix="1" applyFont="1" applyBorder="1" applyAlignment="1">
      <alignment horizontal="center" vertical="center" wrapText="1"/>
    </xf>
    <xf numFmtId="0" fontId="8" fillId="0" borderId="8" xfId="0" quotePrefix="1" applyFont="1" applyBorder="1" applyAlignment="1">
      <alignment horizontal="center" vertical="center" wrapText="1"/>
    </xf>
    <xf numFmtId="6" fontId="8" fillId="0" borderId="56" xfId="0" quotePrefix="1" applyNumberFormat="1" applyFont="1" applyBorder="1" applyAlignment="1">
      <alignment horizontal="center" vertical="center" wrapText="1"/>
    </xf>
    <xf numFmtId="6" fontId="8" fillId="0" borderId="59" xfId="0" quotePrefix="1" applyNumberFormat="1" applyFont="1" applyBorder="1" applyAlignment="1">
      <alignment horizontal="center" vertical="center" wrapText="1"/>
    </xf>
    <xf numFmtId="171" fontId="2" fillId="2" borderId="8" xfId="1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71" fontId="8" fillId="0" borderId="15" xfId="1" quotePrefix="1" applyNumberFormat="1" applyFont="1" applyFill="1" applyBorder="1" applyAlignment="1">
      <alignment horizontal="center" vertical="center" wrapText="1"/>
    </xf>
    <xf numFmtId="0" fontId="8" fillId="0" borderId="17" xfId="0" quotePrefix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56" xfId="0" quotePrefix="1" applyFont="1" applyFill="1" applyBorder="1" applyAlignment="1">
      <alignment horizontal="center" vertical="center" wrapText="1"/>
    </xf>
    <xf numFmtId="0" fontId="8" fillId="0" borderId="59" xfId="0" quotePrefix="1" applyFont="1" applyFill="1" applyBorder="1" applyAlignment="1">
      <alignment horizontal="center" vertical="center" wrapText="1"/>
    </xf>
    <xf numFmtId="0" fontId="8" fillId="0" borderId="68" xfId="0" applyFont="1" applyBorder="1"/>
    <xf numFmtId="0" fontId="8" fillId="0" borderId="34" xfId="0" applyFont="1" applyBorder="1"/>
    <xf numFmtId="165" fontId="0" fillId="0" borderId="28" xfId="5" applyNumberFormat="1" applyFont="1" applyBorder="1"/>
    <xf numFmtId="0" fontId="8" fillId="0" borderId="20" xfId="0" quotePrefix="1" applyFont="1" applyBorder="1" applyAlignment="1">
      <alignment horizontal="center" vertical="center" wrapText="1"/>
    </xf>
    <xf numFmtId="0" fontId="8" fillId="0" borderId="21" xfId="0" quotePrefix="1" applyFont="1" applyBorder="1" applyAlignment="1">
      <alignment horizontal="center" vertical="center" wrapText="1"/>
    </xf>
    <xf numFmtId="0" fontId="8" fillId="0" borderId="26" xfId="0" quotePrefix="1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0" xfId="0" quotePrefix="1" applyFont="1" applyBorder="1" applyAlignment="1">
      <alignment horizontal="center" vertical="center"/>
    </xf>
    <xf numFmtId="0" fontId="8" fillId="0" borderId="56" xfId="0" quotePrefix="1" applyFont="1" applyBorder="1" applyAlignment="1">
      <alignment horizontal="center" vertical="center"/>
    </xf>
    <xf numFmtId="0" fontId="8" fillId="0" borderId="0" xfId="0" quotePrefix="1" applyFont="1" applyAlignment="1">
      <alignment horizontal="center" vertical="center"/>
    </xf>
    <xf numFmtId="0" fontId="8" fillId="0" borderId="0" xfId="0" quotePrefix="1" applyFont="1" applyAlignment="1">
      <alignment horizontal="center" vertical="center" wrapText="1"/>
    </xf>
    <xf numFmtId="180" fontId="8" fillId="0" borderId="0" xfId="0" quotePrefix="1" applyNumberFormat="1" applyFont="1" applyAlignment="1">
      <alignment horizontal="center" vertical="center" wrapText="1"/>
    </xf>
    <xf numFmtId="164" fontId="8" fillId="0" borderId="0" xfId="1" quotePrefix="1" applyNumberFormat="1" applyFont="1" applyAlignment="1">
      <alignment horizontal="center" vertical="center" wrapText="1"/>
    </xf>
    <xf numFmtId="172" fontId="8" fillId="0" borderId="0" xfId="0" quotePrefix="1" applyNumberFormat="1" applyFont="1" applyAlignment="1">
      <alignment horizontal="center" vertical="center" wrapText="1"/>
    </xf>
    <xf numFmtId="164" fontId="22" fillId="0" borderId="0" xfId="1" quotePrefix="1" applyNumberFormat="1" applyFont="1" applyFill="1" applyAlignment="1">
      <alignment horizontal="center"/>
    </xf>
    <xf numFmtId="43" fontId="8" fillId="0" borderId="0" xfId="1" quotePrefix="1" applyFont="1" applyFill="1" applyAlignment="1">
      <alignment horizontal="center"/>
    </xf>
    <xf numFmtId="43" fontId="8" fillId="0" borderId="0" xfId="1" applyFont="1" applyFill="1" applyAlignment="1">
      <alignment horizontal="center"/>
    </xf>
    <xf numFmtId="43" fontId="8" fillId="5" borderId="0" xfId="1" quotePrefix="1" applyFont="1" applyFill="1" applyAlignment="1">
      <alignment horizontal="center"/>
    </xf>
    <xf numFmtId="43" fontId="8" fillId="5" borderId="23" xfId="1" quotePrefix="1" applyFont="1" applyFill="1" applyBorder="1" applyAlignment="1">
      <alignment horizontal="center"/>
    </xf>
    <xf numFmtId="43" fontId="8" fillId="5" borderId="0" xfId="1" applyFont="1" applyFill="1" applyAlignment="1">
      <alignment horizontal="center"/>
    </xf>
    <xf numFmtId="43" fontId="22" fillId="5" borderId="0" xfId="1" quotePrefix="1" applyFont="1" applyFill="1" applyAlignment="1">
      <alignment horizontal="center"/>
    </xf>
    <xf numFmtId="43" fontId="8" fillId="5" borderId="0" xfId="1" quotePrefix="1" applyFont="1" applyFill="1" applyBorder="1" applyAlignment="1">
      <alignment horizontal="center"/>
    </xf>
    <xf numFmtId="43" fontId="8" fillId="5" borderId="18" xfId="1" quotePrefix="1" applyFont="1" applyFill="1" applyBorder="1" applyAlignment="1">
      <alignment horizontal="center"/>
    </xf>
    <xf numFmtId="164" fontId="22" fillId="5" borderId="0" xfId="1" quotePrefix="1" applyNumberFormat="1" applyFont="1" applyFill="1" applyAlignment="1">
      <alignment horizontal="center"/>
    </xf>
    <xf numFmtId="0" fontId="22" fillId="0" borderId="0" xfId="0" quotePrefix="1" applyFont="1" applyBorder="1" applyAlignment="1">
      <alignment horizontal="center"/>
    </xf>
    <xf numFmtId="167" fontId="22" fillId="0" borderId="0" xfId="0" quotePrefix="1" applyNumberFormat="1" applyFont="1" applyBorder="1" applyAlignment="1">
      <alignment horizontal="center"/>
    </xf>
    <xf numFmtId="167" fontId="22" fillId="0" borderId="0" xfId="5" quotePrefix="1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" fillId="0" borderId="56" xfId="0" quotePrefix="1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9" fillId="0" borderId="29" xfId="0" quotePrefix="1" applyNumberFormat="1" applyFont="1" applyFill="1" applyBorder="1" applyAlignment="1">
      <alignment horizontal="center" vertical="center"/>
    </xf>
    <xf numFmtId="0" fontId="9" fillId="0" borderId="60" xfId="0" quotePrefix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/>
    </xf>
    <xf numFmtId="0" fontId="9" fillId="0" borderId="60" xfId="0" quotePrefix="1" applyFont="1" applyFill="1" applyBorder="1" applyAlignment="1">
      <alignment horizontal="center"/>
    </xf>
    <xf numFmtId="165" fontId="0" fillId="0" borderId="34" xfId="0" applyNumberFormat="1" applyBorder="1"/>
    <xf numFmtId="0" fontId="8" fillId="0" borderId="28" xfId="0" quotePrefix="1" applyFont="1" applyBorder="1" applyAlignment="1">
      <alignment horizontal="center"/>
    </xf>
    <xf numFmtId="0" fontId="8" fillId="0" borderId="28" xfId="0" quotePrefix="1" applyFont="1" applyBorder="1" applyAlignment="1">
      <alignment horizontal="center" wrapText="1"/>
    </xf>
    <xf numFmtId="3" fontId="0" fillId="0" borderId="44" xfId="0" applyNumberFormat="1" applyFill="1" applyBorder="1"/>
    <xf numFmtId="0" fontId="9" fillId="0" borderId="28" xfId="0" quotePrefix="1" applyFont="1" applyFill="1" applyBorder="1" applyAlignment="1">
      <alignment horizontal="center" vertical="center"/>
    </xf>
    <xf numFmtId="0" fontId="9" fillId="0" borderId="20" xfId="0" quotePrefix="1" applyFont="1" applyFill="1" applyBorder="1" applyAlignment="1">
      <alignment horizontal="center" vertical="center" wrapText="1"/>
    </xf>
    <xf numFmtId="0" fontId="9" fillId="0" borderId="56" xfId="0" quotePrefix="1" applyFont="1" applyFill="1" applyBorder="1" applyAlignment="1">
      <alignment horizontal="center" vertical="center" wrapText="1"/>
    </xf>
    <xf numFmtId="0" fontId="8" fillId="0" borderId="57" xfId="0" quotePrefix="1" applyFont="1" applyFill="1" applyBorder="1" applyAlignment="1">
      <alignment horizontal="center" vertical="center" wrapText="1"/>
    </xf>
    <xf numFmtId="0" fontId="8" fillId="0" borderId="22" xfId="0" quotePrefix="1" applyFont="1" applyFill="1" applyBorder="1" applyAlignment="1">
      <alignment horizontal="center" vertical="center" wrapText="1"/>
    </xf>
    <xf numFmtId="0" fontId="8" fillId="0" borderId="28" xfId="0" quotePrefix="1" applyFont="1" applyFill="1" applyBorder="1" applyAlignment="1">
      <alignment horizontal="center" vertical="center" wrapText="1"/>
    </xf>
    <xf numFmtId="0" fontId="8" fillId="0" borderId="37" xfId="0" quotePrefix="1" applyFont="1" applyFill="1" applyBorder="1" applyAlignment="1">
      <alignment horizontal="center" vertical="center" wrapText="1"/>
    </xf>
    <xf numFmtId="0" fontId="8" fillId="0" borderId="46" xfId="0" quotePrefix="1" applyFont="1" applyFill="1" applyBorder="1" applyAlignment="1">
      <alignment horizontal="center" vertical="center" wrapText="1"/>
    </xf>
    <xf numFmtId="0" fontId="8" fillId="0" borderId="36" xfId="0" quotePrefix="1" applyFont="1" applyFill="1" applyBorder="1" applyAlignment="1">
      <alignment horizontal="center" vertical="center" wrapText="1"/>
    </xf>
    <xf numFmtId="38" fontId="8" fillId="0" borderId="5" xfId="1" applyNumberFormat="1" applyFont="1" applyBorder="1"/>
    <xf numFmtId="0" fontId="4" fillId="0" borderId="17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34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wrapText="1"/>
    </xf>
    <xf numFmtId="0" fontId="2" fillId="0" borderId="21" xfId="0" applyFont="1" applyFill="1" applyBorder="1" applyAlignment="1">
      <alignment horizontal="center" wrapText="1"/>
    </xf>
    <xf numFmtId="0" fontId="2" fillId="0" borderId="22" xfId="0" applyFont="1" applyFill="1" applyBorder="1" applyAlignment="1">
      <alignment horizontal="center" wrapText="1"/>
    </xf>
    <xf numFmtId="166" fontId="4" fillId="0" borderId="14" xfId="0" applyNumberFormat="1" applyFont="1" applyFill="1" applyBorder="1" applyAlignment="1">
      <alignment horizontal="center" vertical="center" wrapText="1"/>
    </xf>
    <xf numFmtId="166" fontId="4" fillId="0" borderId="35" xfId="0" applyNumberFormat="1" applyFont="1" applyFill="1" applyBorder="1" applyAlignment="1">
      <alignment horizontal="center" vertical="center" wrapText="1"/>
    </xf>
    <xf numFmtId="166" fontId="19" fillId="0" borderId="20" xfId="0" applyNumberFormat="1" applyFont="1" applyFill="1" applyBorder="1" applyAlignment="1">
      <alignment horizontal="center" wrapText="1"/>
    </xf>
    <xf numFmtId="166" fontId="19" fillId="0" borderId="21" xfId="0" applyNumberFormat="1" applyFont="1" applyFill="1" applyBorder="1" applyAlignment="1">
      <alignment horizontal="center" wrapText="1"/>
    </xf>
    <xf numFmtId="166" fontId="19" fillId="0" borderId="22" xfId="0" applyNumberFormat="1" applyFont="1" applyFill="1" applyBorder="1" applyAlignment="1">
      <alignment horizontal="center" wrapText="1"/>
    </xf>
    <xf numFmtId="166" fontId="12" fillId="0" borderId="15" xfId="0" applyNumberFormat="1" applyFont="1" applyFill="1" applyBorder="1" applyAlignment="1">
      <alignment horizontal="left" vertical="center" wrapText="1"/>
    </xf>
    <xf numFmtId="166" fontId="12" fillId="0" borderId="16" xfId="0" applyNumberFormat="1" applyFont="1" applyFill="1" applyBorder="1" applyAlignment="1">
      <alignment horizontal="left" vertical="center" wrapText="1"/>
    </xf>
    <xf numFmtId="166" fontId="12" fillId="0" borderId="24" xfId="0" applyNumberFormat="1" applyFont="1" applyFill="1" applyBorder="1" applyAlignment="1">
      <alignment horizontal="left" vertical="center" wrapText="1"/>
    </xf>
    <xf numFmtId="166" fontId="12" fillId="0" borderId="25" xfId="0" applyNumberFormat="1" applyFont="1" applyFill="1" applyBorder="1" applyAlignment="1">
      <alignment horizontal="left" vertical="center" wrapText="1"/>
    </xf>
    <xf numFmtId="0" fontId="19" fillId="0" borderId="20" xfId="0" applyFont="1" applyFill="1" applyBorder="1" applyAlignment="1">
      <alignment horizontal="center"/>
    </xf>
    <xf numFmtId="0" fontId="19" fillId="0" borderId="21" xfId="0" applyFont="1" applyFill="1" applyBorder="1" applyAlignment="1">
      <alignment horizontal="center"/>
    </xf>
    <xf numFmtId="0" fontId="19" fillId="0" borderId="22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/>
    </xf>
    <xf numFmtId="0" fontId="19" fillId="0" borderId="16" xfId="0" applyFont="1" applyFill="1" applyBorder="1" applyAlignment="1">
      <alignment horizontal="center"/>
    </xf>
    <xf numFmtId="0" fontId="19" fillId="0" borderId="17" xfId="0" applyFont="1" applyFill="1" applyBorder="1" applyAlignment="1">
      <alignment horizontal="center"/>
    </xf>
    <xf numFmtId="0" fontId="12" fillId="0" borderId="20" xfId="0" applyFont="1" applyFill="1" applyBorder="1" applyAlignment="1">
      <alignment horizontal="left" vertical="center" wrapText="1"/>
    </xf>
    <xf numFmtId="0" fontId="12" fillId="0" borderId="21" xfId="0" applyFont="1" applyFill="1" applyBorder="1" applyAlignment="1">
      <alignment horizontal="left" vertical="center" wrapText="1"/>
    </xf>
    <xf numFmtId="0" fontId="12" fillId="0" borderId="24" xfId="0" applyFont="1" applyFill="1" applyBorder="1" applyAlignment="1">
      <alignment horizontal="left" vertical="center" wrapText="1"/>
    </xf>
    <xf numFmtId="0" fontId="12" fillId="0" borderId="25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 wrapText="1"/>
    </xf>
    <xf numFmtId="0" fontId="5" fillId="0" borderId="34" xfId="0" applyFont="1" applyFill="1" applyBorder="1" applyAlignment="1">
      <alignment horizontal="center" wrapText="1"/>
    </xf>
    <xf numFmtId="0" fontId="5" fillId="0" borderId="20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0" fontId="5" fillId="0" borderId="21" xfId="0" applyFont="1" applyFill="1" applyBorder="1" applyAlignment="1">
      <alignment horizontal="center"/>
    </xf>
    <xf numFmtId="0" fontId="4" fillId="0" borderId="4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5" fillId="0" borderId="63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64" xfId="0" applyFont="1" applyFill="1" applyBorder="1" applyAlignment="1">
      <alignment horizontal="center" vertical="center" wrapText="1"/>
    </xf>
    <xf numFmtId="0" fontId="4" fillId="0" borderId="61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164" fontId="5" fillId="0" borderId="20" xfId="1" applyNumberFormat="1" applyFont="1" applyBorder="1" applyAlignment="1">
      <alignment horizontal="center"/>
    </xf>
    <xf numFmtId="164" fontId="5" fillId="0" borderId="21" xfId="1" applyNumberFormat="1" applyFont="1" applyBorder="1" applyAlignment="1">
      <alignment horizontal="center"/>
    </xf>
    <xf numFmtId="164" fontId="5" fillId="0" borderId="22" xfId="1" applyNumberFormat="1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0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  <xf numFmtId="6" fontId="5" fillId="0" borderId="20" xfId="0" applyNumberFormat="1" applyFont="1" applyBorder="1" applyAlignment="1">
      <alignment horizontal="center"/>
    </xf>
    <xf numFmtId="6" fontId="5" fillId="0" borderId="21" xfId="0" applyNumberFormat="1" applyFont="1" applyBorder="1" applyAlignment="1">
      <alignment horizontal="center"/>
    </xf>
    <xf numFmtId="6" fontId="5" fillId="0" borderId="22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</cellXfs>
  <cellStyles count="6">
    <cellStyle name="Comma" xfId="1" builtinId="3"/>
    <cellStyle name="Currency" xfId="5" builtinId="4"/>
    <cellStyle name="Normal" xfId="0" builtinId="0"/>
    <cellStyle name="Normal 2" xfId="4" xr:uid="{00000000-0005-0000-0000-000003000000}"/>
    <cellStyle name="Percent" xfId="2" builtinId="5"/>
    <cellStyle name="Title" xfId="3" builtinId="15"/>
  </cellStyles>
  <dxfs count="17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5050"/>
      <color rgb="FFDFCDF7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0</xdr:row>
      <xdr:rowOff>276225</xdr:rowOff>
    </xdr:from>
    <xdr:to>
      <xdr:col>10</xdr:col>
      <xdr:colOff>571500</xdr:colOff>
      <xdr:row>9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7448550" y="276225"/>
          <a:ext cx="1828800" cy="1752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3200">
              <a:solidFill>
                <a:sysClr val="windowText" lastClr="000000"/>
              </a:solidFill>
            </a:rPr>
            <a:t>Simplified Interim Model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16</xdr:col>
      <xdr:colOff>352425</xdr:colOff>
      <xdr:row>3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6781800" y="295275"/>
          <a:ext cx="6953250" cy="571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>
              <a:solidFill>
                <a:sysClr val="windowText" lastClr="000000"/>
              </a:solidFill>
            </a:rPr>
            <a:t>Funding Model -</a:t>
          </a:r>
          <a:r>
            <a:rPr lang="en-US" sz="2800" baseline="0">
              <a:solidFill>
                <a:sysClr val="windowText" lastClr="000000"/>
              </a:solidFill>
            </a:rPr>
            <a:t> </a:t>
          </a:r>
          <a:r>
            <a:rPr lang="en-US" sz="2800">
              <a:solidFill>
                <a:sysClr val="windowText" lastClr="000000"/>
              </a:solidFill>
            </a:rPr>
            <a:t>Requires</a:t>
          </a:r>
          <a:r>
            <a:rPr lang="en-US" sz="2800" baseline="0">
              <a:solidFill>
                <a:sysClr val="windowText" lastClr="000000"/>
              </a:solidFill>
            </a:rPr>
            <a:t> new data collection</a:t>
          </a:r>
          <a:endParaRPr lang="en-US" sz="28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89</xdr:row>
      <xdr:rowOff>133350</xdr:rowOff>
    </xdr:from>
    <xdr:to>
      <xdr:col>9</xdr:col>
      <xdr:colOff>1076325</xdr:colOff>
      <xdr:row>97</xdr:row>
      <xdr:rowOff>85725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973A683-AE2C-495F-AEEA-5F70926AC856}"/>
            </a:ext>
          </a:extLst>
        </xdr:cNvPr>
        <xdr:cNvSpPr txBox="1"/>
      </xdr:nvSpPr>
      <xdr:spPr>
        <a:xfrm>
          <a:off x="0" y="17735550"/>
          <a:ext cx="14382750" cy="1552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2.5</a:t>
          </a:r>
          <a:r>
            <a:rPr lang="en-US" sz="1100" baseline="0"/>
            <a:t> Supplemental Payment school district distribution is estimated based on the 135 Day county ADM for FY 2018-19</a:t>
          </a:r>
        </a:p>
        <a:p>
          <a:r>
            <a:rPr lang="en-US" sz="1100" baseline="0"/>
            <a:t>Tier II Other school district distribution by county is based on TY 2018 millage and multi-school district distribution based on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school districts' TY 2017 </a:t>
          </a:r>
          <a:r>
            <a:rPr lang="en-US" sz="1100" baseline="0"/>
            <a:t>owner occupied property assessement and the non-operating millage within the county  (provided by DOR and SCAC)</a:t>
          </a:r>
        </a:p>
        <a:p>
          <a:r>
            <a:rPr lang="en-US" sz="1100" baseline="0"/>
            <a:t>Manufacturers' Depreciation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school district distribution by county is based on TY 2018 millage rates and multi-school district distribution based on </a:t>
          </a:r>
          <a:endParaRPr lang="en-US" sz="1100" baseline="0"/>
        </a:p>
        <a:p>
          <a:r>
            <a:rPr lang="en-US" sz="1100" baseline="0"/>
            <a:t>Manfuacturers' Exemption</a:t>
          </a:r>
        </a:p>
        <a:p>
          <a:r>
            <a:rPr lang="en-US" sz="1100" baseline="0"/>
            <a:t>Merchants' Inventory school district distribution by county is based on TY 2018 millage rates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and multi-school district distribution based on merchants' inventory assessment within the county (provided by DOR)</a:t>
          </a:r>
        </a:p>
        <a:p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lang="en-US" sz="1100" baseline="0"/>
            <a:t>(1987 cap with redistribution in the county for all political subdivisions current millage)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77"/>
  <sheetViews>
    <sheetView tabSelected="1" zoomScaleNormal="100" workbookViewId="0">
      <selection activeCell="A2" sqref="A2"/>
    </sheetView>
  </sheetViews>
  <sheetFormatPr defaultRowHeight="15.75" x14ac:dyDescent="0.25"/>
  <cols>
    <col min="1" max="1" width="40.5703125" style="301" bestFit="1" customWidth="1"/>
    <col min="2" max="2" width="15.42578125" style="302" bestFit="1" customWidth="1"/>
    <col min="3" max="3" width="13.7109375" style="302" bestFit="1" customWidth="1"/>
    <col min="4" max="4" width="3.28515625" style="302" bestFit="1" customWidth="1"/>
    <col min="5" max="5" width="12.85546875" style="302" bestFit="1" customWidth="1"/>
    <col min="6" max="6" width="11.140625" style="302" customWidth="1"/>
    <col min="7" max="7" width="10.42578125" style="301" bestFit="1" customWidth="1"/>
    <col min="8" max="8" width="5.42578125" style="301" bestFit="1" customWidth="1"/>
    <col min="9" max="9" width="4.42578125" style="301" bestFit="1" customWidth="1"/>
    <col min="10" max="10" width="16.85546875" style="301" bestFit="1" customWidth="1"/>
    <col min="11" max="12" width="16.85546875" style="301" customWidth="1"/>
    <col min="13" max="13" width="12.85546875" style="301" customWidth="1"/>
    <col min="14" max="14" width="14" style="301" bestFit="1" customWidth="1"/>
    <col min="15" max="15" width="11.28515625" style="301" bestFit="1" customWidth="1"/>
    <col min="16" max="16" width="16.85546875" style="301" bestFit="1" customWidth="1"/>
    <col min="17" max="17" width="9.140625" style="301"/>
    <col min="18" max="18" width="12.7109375" style="301" bestFit="1" customWidth="1"/>
    <col min="19" max="19" width="14.5703125" style="301" bestFit="1" customWidth="1"/>
    <col min="20" max="16384" width="9.140625" style="301"/>
  </cols>
  <sheetData>
    <row r="1" spans="1:6" ht="23.25" x14ac:dyDescent="0.35">
      <c r="A1" s="351" t="s">
        <v>574</v>
      </c>
    </row>
    <row r="3" spans="1:6" x14ac:dyDescent="0.25">
      <c r="A3" s="333" t="s">
        <v>94</v>
      </c>
      <c r="B3" s="303"/>
    </row>
    <row r="4" spans="1:6" x14ac:dyDescent="0.25">
      <c r="A4" s="304" t="s">
        <v>171</v>
      </c>
      <c r="B4" s="305">
        <v>44586</v>
      </c>
    </row>
    <row r="5" spans="1:6" x14ac:dyDescent="0.25">
      <c r="A5" s="304" t="s">
        <v>138</v>
      </c>
      <c r="B5" s="305">
        <f>B4*B9</f>
        <v>12600.0036</v>
      </c>
    </row>
    <row r="6" spans="1:6" x14ac:dyDescent="0.25">
      <c r="A6" s="204" t="s">
        <v>98</v>
      </c>
      <c r="B6" s="305">
        <v>6798</v>
      </c>
    </row>
    <row r="7" spans="1:6" x14ac:dyDescent="0.25">
      <c r="A7" s="333" t="s">
        <v>96</v>
      </c>
      <c r="B7" s="334">
        <f>SUM(B4:B6)</f>
        <v>63984.003599999996</v>
      </c>
    </row>
    <row r="8" spans="1:6" x14ac:dyDescent="0.25">
      <c r="A8" s="333"/>
      <c r="B8" s="334"/>
    </row>
    <row r="9" spans="1:6" x14ac:dyDescent="0.25">
      <c r="A9" s="204" t="s">
        <v>172</v>
      </c>
      <c r="B9" s="306">
        <v>0.28260000000000002</v>
      </c>
    </row>
    <row r="10" spans="1:6" x14ac:dyDescent="0.25">
      <c r="A10" s="204"/>
      <c r="B10" s="306"/>
    </row>
    <row r="11" spans="1:6" x14ac:dyDescent="0.25">
      <c r="A11" s="204" t="s">
        <v>607</v>
      </c>
      <c r="B11" s="303">
        <v>721122.25</v>
      </c>
    </row>
    <row r="12" spans="1:6" x14ac:dyDescent="0.25">
      <c r="A12" s="204"/>
      <c r="B12" s="303"/>
    </row>
    <row r="13" spans="1:6" x14ac:dyDescent="0.25">
      <c r="A13" s="204"/>
      <c r="B13" s="303"/>
    </row>
    <row r="14" spans="1:6" x14ac:dyDescent="0.25">
      <c r="A14" s="403" t="s">
        <v>656</v>
      </c>
    </row>
    <row r="15" spans="1:6" x14ac:dyDescent="0.25">
      <c r="A15" s="307" t="s">
        <v>573</v>
      </c>
      <c r="B15" s="63" t="s">
        <v>173</v>
      </c>
      <c r="C15" s="63" t="s">
        <v>174</v>
      </c>
      <c r="D15" s="63"/>
      <c r="E15" s="63" t="s">
        <v>176</v>
      </c>
      <c r="F15" s="63"/>
    </row>
    <row r="16" spans="1:6" x14ac:dyDescent="0.25">
      <c r="A16" s="301" t="s">
        <v>175</v>
      </c>
      <c r="B16" s="302">
        <v>16.5</v>
      </c>
      <c r="C16" s="302">
        <v>21.5</v>
      </c>
      <c r="E16" s="309" t="s">
        <v>639</v>
      </c>
    </row>
    <row r="17" spans="1:9" x14ac:dyDescent="0.25">
      <c r="A17" s="308" t="s">
        <v>121</v>
      </c>
      <c r="B17" s="302">
        <v>16.5</v>
      </c>
      <c r="C17" s="302">
        <v>21.5</v>
      </c>
    </row>
    <row r="18" spans="1:9" x14ac:dyDescent="0.25">
      <c r="A18" s="308" t="s">
        <v>122</v>
      </c>
      <c r="B18" s="302">
        <v>16.5</v>
      </c>
      <c r="C18" s="302">
        <v>21.5</v>
      </c>
    </row>
    <row r="19" spans="1:9" x14ac:dyDescent="0.25">
      <c r="A19" s="301" t="s">
        <v>123</v>
      </c>
      <c r="B19" s="302">
        <v>16.5</v>
      </c>
      <c r="C19" s="302">
        <v>21.5</v>
      </c>
    </row>
    <row r="20" spans="1:9" x14ac:dyDescent="0.25">
      <c r="A20" s="301" t="s">
        <v>124</v>
      </c>
      <c r="B20" s="302">
        <v>16.5</v>
      </c>
      <c r="C20" s="302">
        <v>21.5</v>
      </c>
    </row>
    <row r="21" spans="1:9" x14ac:dyDescent="0.25">
      <c r="A21" s="301" t="s">
        <v>572</v>
      </c>
      <c r="E21" s="302">
        <v>17.5</v>
      </c>
      <c r="F21" s="309" t="s">
        <v>571</v>
      </c>
    </row>
    <row r="22" spans="1:9" x14ac:dyDescent="0.25">
      <c r="A22" s="205" t="s">
        <v>566</v>
      </c>
      <c r="E22" s="310">
        <v>120</v>
      </c>
      <c r="F22" s="309" t="s">
        <v>590</v>
      </c>
    </row>
    <row r="23" spans="1:9" x14ac:dyDescent="0.25">
      <c r="A23" s="205" t="s">
        <v>570</v>
      </c>
      <c r="E23" s="310" t="s">
        <v>657</v>
      </c>
      <c r="F23" s="309" t="s">
        <v>638</v>
      </c>
    </row>
    <row r="24" spans="1:9" x14ac:dyDescent="0.25">
      <c r="A24" s="301" t="s">
        <v>128</v>
      </c>
      <c r="E24" s="310" t="s">
        <v>657</v>
      </c>
      <c r="F24" s="309" t="s">
        <v>638</v>
      </c>
    </row>
    <row r="25" spans="1:9" x14ac:dyDescent="0.25">
      <c r="A25" s="205" t="s">
        <v>134</v>
      </c>
      <c r="E25" s="310" t="s">
        <v>657</v>
      </c>
      <c r="F25" s="309" t="s">
        <v>638</v>
      </c>
    </row>
    <row r="26" spans="1:9" x14ac:dyDescent="0.25">
      <c r="A26" s="205" t="s">
        <v>135</v>
      </c>
      <c r="E26" s="310" t="s">
        <v>657</v>
      </c>
      <c r="F26" s="309" t="s">
        <v>638</v>
      </c>
    </row>
    <row r="27" spans="1:9" x14ac:dyDescent="0.25">
      <c r="A27" s="205" t="s">
        <v>619</v>
      </c>
      <c r="E27" s="310" t="s">
        <v>657</v>
      </c>
      <c r="F27" s="309" t="s">
        <v>638</v>
      </c>
    </row>
    <row r="28" spans="1:9" x14ac:dyDescent="0.25">
      <c r="A28" s="205" t="s">
        <v>224</v>
      </c>
      <c r="E28" s="310" t="s">
        <v>657</v>
      </c>
      <c r="F28" s="309" t="s">
        <v>638</v>
      </c>
    </row>
    <row r="29" spans="1:9" x14ac:dyDescent="0.25">
      <c r="A29" s="365" t="s">
        <v>658</v>
      </c>
      <c r="F29" s="309"/>
    </row>
    <row r="31" spans="1:9" ht="31.5" x14ac:dyDescent="0.25">
      <c r="A31" s="307" t="s">
        <v>179</v>
      </c>
      <c r="B31" s="320" t="s">
        <v>634</v>
      </c>
      <c r="C31" s="63" t="s">
        <v>636</v>
      </c>
      <c r="D31" s="63"/>
      <c r="E31" s="63" t="s">
        <v>222</v>
      </c>
      <c r="F31" s="301"/>
      <c r="G31" s="63" t="s">
        <v>221</v>
      </c>
    </row>
    <row r="32" spans="1:9" x14ac:dyDescent="0.25">
      <c r="A32" s="311" t="s">
        <v>114</v>
      </c>
      <c r="B32" s="340">
        <v>8.5000000000000006E-3</v>
      </c>
      <c r="C32" s="316">
        <f>B32*$B$4</f>
        <v>378.98100000000005</v>
      </c>
      <c r="D32" s="316"/>
      <c r="E32" s="314">
        <v>1</v>
      </c>
      <c r="F32" s="302" t="s">
        <v>182</v>
      </c>
      <c r="G32" s="363">
        <v>1</v>
      </c>
      <c r="H32" s="315"/>
      <c r="I32" s="315"/>
    </row>
    <row r="33" spans="1:22" x14ac:dyDescent="0.25">
      <c r="A33" s="311" t="s">
        <v>115</v>
      </c>
      <c r="B33" s="340">
        <v>8.5000000000000006E-3</v>
      </c>
      <c r="C33" s="316">
        <f>B33*$B$4</f>
        <v>378.98100000000005</v>
      </c>
      <c r="D33" s="316"/>
      <c r="E33" s="314">
        <v>1</v>
      </c>
      <c r="F33" s="316" t="s">
        <v>182</v>
      </c>
      <c r="G33" s="363">
        <v>1</v>
      </c>
      <c r="J33" s="402"/>
    </row>
    <row r="34" spans="1:22" x14ac:dyDescent="0.25">
      <c r="A34" s="311" t="s">
        <v>116</v>
      </c>
      <c r="B34" s="340">
        <v>1.15E-2</v>
      </c>
      <c r="C34" s="316">
        <f>B34*$B$4</f>
        <v>512.73900000000003</v>
      </c>
      <c r="D34" s="316"/>
      <c r="E34" s="314">
        <v>1</v>
      </c>
      <c r="F34" s="302" t="s">
        <v>182</v>
      </c>
      <c r="G34" s="363">
        <v>1</v>
      </c>
      <c r="J34" s="402"/>
      <c r="K34" s="402"/>
    </row>
    <row r="35" spans="1:22" x14ac:dyDescent="0.25">
      <c r="A35" s="311" t="s">
        <v>117</v>
      </c>
      <c r="B35" s="340">
        <v>8.5000000000000006E-3</v>
      </c>
      <c r="C35" s="316">
        <f>B35*$B$4</f>
        <v>378.98100000000005</v>
      </c>
      <c r="D35" s="316"/>
      <c r="E35" s="314">
        <v>1</v>
      </c>
      <c r="F35" s="302" t="s">
        <v>182</v>
      </c>
      <c r="G35" s="363">
        <v>1</v>
      </c>
      <c r="J35" s="402"/>
      <c r="K35" s="402"/>
    </row>
    <row r="36" spans="1:22" x14ac:dyDescent="0.25">
      <c r="A36" s="311" t="s">
        <v>178</v>
      </c>
      <c r="B36" s="340">
        <v>1.6E-2</v>
      </c>
      <c r="C36" s="316">
        <f>B36*$B$4</f>
        <v>713.37599999999998</v>
      </c>
      <c r="D36" s="316"/>
      <c r="E36" s="302">
        <v>1</v>
      </c>
      <c r="F36" s="302" t="s">
        <v>182</v>
      </c>
      <c r="G36" s="363">
        <v>1</v>
      </c>
      <c r="K36" s="402"/>
    </row>
    <row r="37" spans="1:22" x14ac:dyDescent="0.25">
      <c r="A37" s="301" t="s">
        <v>661</v>
      </c>
      <c r="B37" s="317">
        <v>1</v>
      </c>
      <c r="C37" s="316">
        <f t="shared" ref="C37:C43" si="0">$B$4*B37</f>
        <v>44586</v>
      </c>
      <c r="D37" s="364" t="s">
        <v>111</v>
      </c>
      <c r="E37" s="314">
        <v>1</v>
      </c>
      <c r="F37" s="302" t="s">
        <v>182</v>
      </c>
      <c r="G37" s="363">
        <v>350</v>
      </c>
      <c r="H37" s="302"/>
      <c r="I37" s="302"/>
      <c r="J37" s="302"/>
      <c r="K37" s="302"/>
      <c r="L37" s="302"/>
      <c r="N37" s="319"/>
      <c r="O37" s="319"/>
      <c r="P37" s="321"/>
      <c r="R37" s="322"/>
    </row>
    <row r="38" spans="1:22" x14ac:dyDescent="0.25">
      <c r="A38" s="301" t="s">
        <v>662</v>
      </c>
      <c r="B38" s="317">
        <v>0.25</v>
      </c>
      <c r="C38" s="316">
        <f>$B$4*B38</f>
        <v>11146.5</v>
      </c>
      <c r="D38" s="364" t="s">
        <v>111</v>
      </c>
      <c r="E38" s="314">
        <v>1</v>
      </c>
      <c r="F38" s="302" t="s">
        <v>182</v>
      </c>
      <c r="G38" s="363">
        <v>350</v>
      </c>
      <c r="H38" s="302"/>
      <c r="I38" s="302"/>
      <c r="J38" s="302"/>
      <c r="K38" s="302"/>
      <c r="L38" s="302"/>
      <c r="P38" s="322"/>
    </row>
    <row r="39" spans="1:22" x14ac:dyDescent="0.25">
      <c r="A39" s="301" t="s">
        <v>140</v>
      </c>
      <c r="B39" s="317">
        <v>1</v>
      </c>
      <c r="C39" s="316">
        <f t="shared" si="0"/>
        <v>44586</v>
      </c>
      <c r="D39" s="364" t="s">
        <v>111</v>
      </c>
      <c r="E39" s="314">
        <v>1</v>
      </c>
      <c r="F39" s="302" t="s">
        <v>182</v>
      </c>
      <c r="G39" s="363">
        <v>685</v>
      </c>
      <c r="H39" s="302"/>
      <c r="I39" s="302"/>
      <c r="J39" s="362"/>
      <c r="K39" s="302"/>
      <c r="L39" s="302"/>
      <c r="P39" s="322"/>
    </row>
    <row r="40" spans="1:22" x14ac:dyDescent="0.25">
      <c r="A40" s="301" t="s">
        <v>614</v>
      </c>
      <c r="B40" s="317">
        <v>0.5</v>
      </c>
      <c r="C40" s="316">
        <f t="shared" si="0"/>
        <v>22293</v>
      </c>
      <c r="D40" s="364" t="s">
        <v>111</v>
      </c>
      <c r="E40" s="314">
        <v>1</v>
      </c>
      <c r="F40" s="302" t="s">
        <v>182</v>
      </c>
      <c r="G40" s="363">
        <v>685</v>
      </c>
      <c r="H40" s="302"/>
      <c r="I40" s="302"/>
      <c r="J40" s="302"/>
      <c r="K40" s="302"/>
      <c r="L40" s="302"/>
      <c r="P40" s="322"/>
    </row>
    <row r="41" spans="1:22" x14ac:dyDescent="0.25">
      <c r="A41" s="301" t="s">
        <v>141</v>
      </c>
      <c r="B41" s="317">
        <v>1</v>
      </c>
      <c r="C41" s="316">
        <f t="shared" si="0"/>
        <v>44586</v>
      </c>
      <c r="D41" s="364" t="s">
        <v>111</v>
      </c>
      <c r="E41" s="314">
        <v>1</v>
      </c>
      <c r="F41" s="302" t="s">
        <v>182</v>
      </c>
      <c r="G41" s="332">
        <v>2260</v>
      </c>
      <c r="H41" s="302"/>
      <c r="I41" s="302"/>
      <c r="J41" s="302"/>
      <c r="K41" s="302"/>
      <c r="L41" s="302"/>
      <c r="P41" s="322"/>
    </row>
    <row r="42" spans="1:22" x14ac:dyDescent="0.25">
      <c r="A42" s="301" t="s">
        <v>149</v>
      </c>
      <c r="B42" s="317">
        <v>1</v>
      </c>
      <c r="C42" s="316">
        <f t="shared" si="0"/>
        <v>44586</v>
      </c>
      <c r="D42" s="364" t="s">
        <v>111</v>
      </c>
      <c r="E42" s="314">
        <v>1</v>
      </c>
      <c r="F42" s="302" t="s">
        <v>182</v>
      </c>
      <c r="G42" s="363">
        <v>600</v>
      </c>
    </row>
    <row r="43" spans="1:22" x14ac:dyDescent="0.25">
      <c r="A43" s="301" t="s">
        <v>611</v>
      </c>
      <c r="B43" s="317">
        <v>1</v>
      </c>
      <c r="C43" s="316">
        <f t="shared" si="0"/>
        <v>44586</v>
      </c>
      <c r="D43" s="364" t="s">
        <v>111</v>
      </c>
      <c r="E43" s="314">
        <v>1</v>
      </c>
      <c r="F43" s="302" t="s">
        <v>182</v>
      </c>
      <c r="G43" s="363">
        <v>3180</v>
      </c>
      <c r="H43" s="302"/>
      <c r="I43" s="302"/>
      <c r="J43" s="362"/>
      <c r="K43" s="302"/>
      <c r="L43" s="302"/>
      <c r="P43" s="322"/>
    </row>
    <row r="44" spans="1:22" x14ac:dyDescent="0.25">
      <c r="P44" s="322"/>
    </row>
    <row r="45" spans="1:22" ht="31.5" x14ac:dyDescent="0.25">
      <c r="A45" s="307" t="s">
        <v>189</v>
      </c>
      <c r="B45" s="320" t="s">
        <v>634</v>
      </c>
      <c r="C45" s="63" t="s">
        <v>636</v>
      </c>
      <c r="D45" s="320"/>
      <c r="E45" s="63" t="s">
        <v>181</v>
      </c>
      <c r="F45" s="301"/>
      <c r="G45" s="63" t="s">
        <v>183</v>
      </c>
      <c r="H45" s="63"/>
      <c r="I45" s="63"/>
      <c r="J45" s="63"/>
      <c r="O45" s="313"/>
    </row>
    <row r="46" spans="1:22" x14ac:dyDescent="0.25">
      <c r="A46" s="301" t="s">
        <v>620</v>
      </c>
      <c r="B46" s="317">
        <v>0.5</v>
      </c>
      <c r="C46" s="316">
        <f>$B$4*B46</f>
        <v>22293</v>
      </c>
      <c r="D46" s="364" t="s">
        <v>111</v>
      </c>
      <c r="E46" s="314">
        <v>1</v>
      </c>
      <c r="F46" s="302" t="s">
        <v>182</v>
      </c>
      <c r="G46" s="302" t="s">
        <v>621</v>
      </c>
      <c r="H46" s="302"/>
      <c r="I46" s="302"/>
      <c r="J46" s="63"/>
      <c r="K46" s="318"/>
      <c r="L46" s="318"/>
    </row>
    <row r="47" spans="1:22" x14ac:dyDescent="0.25">
      <c r="A47" s="301" t="s">
        <v>188</v>
      </c>
      <c r="B47" s="317">
        <v>1.7</v>
      </c>
      <c r="C47" s="316">
        <f>$B$4*B47</f>
        <v>75796.2</v>
      </c>
      <c r="D47" s="364" t="s">
        <v>111</v>
      </c>
      <c r="E47" s="314">
        <v>1</v>
      </c>
      <c r="F47" s="302" t="s">
        <v>182</v>
      </c>
      <c r="G47" s="302">
        <v>15</v>
      </c>
      <c r="H47" s="302"/>
      <c r="I47" s="302"/>
      <c r="J47" s="302"/>
      <c r="O47" s="418"/>
      <c r="S47" s="302"/>
      <c r="T47" s="303"/>
      <c r="U47" s="319"/>
      <c r="V47" s="319"/>
    </row>
    <row r="48" spans="1:22" x14ac:dyDescent="0.25">
      <c r="A48" s="301" t="s">
        <v>654</v>
      </c>
      <c r="B48" s="317">
        <v>0.7</v>
      </c>
      <c r="C48" s="316">
        <f>$B$4*B48</f>
        <v>31210.199999999997</v>
      </c>
      <c r="D48" s="364" t="s">
        <v>111</v>
      </c>
      <c r="E48" s="314">
        <v>1</v>
      </c>
      <c r="F48" s="302" t="s">
        <v>182</v>
      </c>
      <c r="G48" s="302">
        <v>15</v>
      </c>
      <c r="H48" s="302"/>
      <c r="I48" s="302"/>
      <c r="J48" s="302"/>
      <c r="K48" s="63"/>
      <c r="L48" s="63"/>
      <c r="N48" s="319"/>
      <c r="O48" s="319"/>
      <c r="P48" s="319"/>
    </row>
    <row r="49" spans="1:20" x14ac:dyDescent="0.25">
      <c r="A49" s="301" t="s">
        <v>637</v>
      </c>
      <c r="B49" s="312">
        <v>7.4999999999999997E-2</v>
      </c>
      <c r="C49" s="316">
        <f>$B$4*B49</f>
        <v>3343.95</v>
      </c>
      <c r="D49" s="316"/>
      <c r="E49" s="314">
        <v>1</v>
      </c>
      <c r="F49" s="316" t="s">
        <v>182</v>
      </c>
      <c r="G49" s="302">
        <v>1</v>
      </c>
      <c r="K49" s="63"/>
      <c r="L49" s="63"/>
      <c r="N49" s="319"/>
      <c r="O49" s="319"/>
      <c r="P49" s="319"/>
    </row>
    <row r="50" spans="1:20" x14ac:dyDescent="0.25">
      <c r="N50" s="323"/>
      <c r="O50" s="319"/>
      <c r="P50" s="324"/>
      <c r="Q50" s="315"/>
      <c r="S50" s="325"/>
      <c r="T50" s="322"/>
    </row>
    <row r="51" spans="1:20" x14ac:dyDescent="0.25">
      <c r="B51" s="317"/>
      <c r="C51" s="316"/>
      <c r="D51" s="364"/>
      <c r="E51" s="314"/>
      <c r="G51" s="302"/>
      <c r="K51" s="302"/>
      <c r="L51" s="302"/>
      <c r="N51" s="325"/>
    </row>
    <row r="52" spans="1:20" x14ac:dyDescent="0.25">
      <c r="A52" s="403" t="s">
        <v>655</v>
      </c>
      <c r="B52" s="317"/>
      <c r="C52" s="316"/>
      <c r="D52" s="316"/>
      <c r="G52" s="302"/>
      <c r="H52" s="302"/>
      <c r="I52" s="302"/>
      <c r="K52" s="302"/>
      <c r="L52" s="302"/>
      <c r="N52" s="323"/>
      <c r="O52" s="318"/>
    </row>
    <row r="53" spans="1:20" ht="31.5" x14ac:dyDescent="0.25">
      <c r="A53" s="330" t="s">
        <v>631</v>
      </c>
      <c r="B53" s="320" t="s">
        <v>634</v>
      </c>
      <c r="C53" s="320" t="s">
        <v>660</v>
      </c>
      <c r="D53" s="63"/>
      <c r="E53" s="63" t="s">
        <v>633</v>
      </c>
      <c r="G53" s="63" t="s">
        <v>183</v>
      </c>
      <c r="K53" s="302"/>
      <c r="N53" s="322"/>
      <c r="O53" s="326"/>
      <c r="P53" s="322"/>
    </row>
    <row r="54" spans="1:20" x14ac:dyDescent="0.25">
      <c r="A54" s="301" t="s">
        <v>622</v>
      </c>
      <c r="B54" s="368">
        <v>4.0000000000000003E-5</v>
      </c>
      <c r="C54" s="331">
        <f>ROUND(B54*B4,1)</f>
        <v>1.8</v>
      </c>
      <c r="D54" s="331"/>
      <c r="E54" s="332">
        <v>2750</v>
      </c>
      <c r="F54" s="302" t="s">
        <v>182</v>
      </c>
      <c r="G54" s="302">
        <v>1</v>
      </c>
      <c r="K54" s="302"/>
    </row>
    <row r="55" spans="1:20" x14ac:dyDescent="0.25">
      <c r="A55" s="301" t="s">
        <v>623</v>
      </c>
      <c r="B55" s="368">
        <v>5.3999999999999998E-5</v>
      </c>
      <c r="C55" s="331">
        <f>ROUND(B55*B4,1)</f>
        <v>2.4</v>
      </c>
      <c r="D55" s="331"/>
      <c r="E55" s="332">
        <f>E54</f>
        <v>2750</v>
      </c>
      <c r="F55" s="302" t="s">
        <v>182</v>
      </c>
      <c r="G55" s="302">
        <v>1</v>
      </c>
      <c r="N55" s="327"/>
      <c r="O55" s="324"/>
      <c r="Q55" s="315"/>
    </row>
    <row r="56" spans="1:20" x14ac:dyDescent="0.25">
      <c r="A56" s="301" t="s">
        <v>160</v>
      </c>
      <c r="B56" s="368">
        <v>3.4E-5</v>
      </c>
      <c r="C56" s="331">
        <f>ROUND(B56*B4,1)</f>
        <v>1.5</v>
      </c>
      <c r="D56" s="331"/>
      <c r="E56" s="332">
        <f>E54</f>
        <v>2750</v>
      </c>
      <c r="F56" s="302" t="s">
        <v>182</v>
      </c>
      <c r="G56" s="302">
        <v>1</v>
      </c>
    </row>
    <row r="57" spans="1:20" x14ac:dyDescent="0.25">
      <c r="B57" s="301"/>
      <c r="C57" s="301"/>
      <c r="D57" s="301"/>
      <c r="E57" s="301"/>
      <c r="F57" s="301"/>
    </row>
    <row r="58" spans="1:20" ht="31.5" x14ac:dyDescent="0.25">
      <c r="A58" s="307" t="s">
        <v>179</v>
      </c>
      <c r="B58" s="320" t="s">
        <v>634</v>
      </c>
      <c r="C58" s="63" t="s">
        <v>636</v>
      </c>
      <c r="D58" s="63"/>
      <c r="E58" s="63" t="s">
        <v>222</v>
      </c>
      <c r="F58" s="301"/>
      <c r="G58" s="63" t="s">
        <v>221</v>
      </c>
    </row>
    <row r="59" spans="1:20" x14ac:dyDescent="0.25">
      <c r="A59" s="301" t="s">
        <v>217</v>
      </c>
      <c r="B59" s="317">
        <v>1</v>
      </c>
      <c r="C59" s="316">
        <f>$B$4*B59</f>
        <v>44586</v>
      </c>
      <c r="D59" s="364" t="s">
        <v>111</v>
      </c>
      <c r="E59" s="302">
        <v>1</v>
      </c>
      <c r="F59" s="302" t="s">
        <v>182</v>
      </c>
      <c r="G59" s="302">
        <v>640</v>
      </c>
    </row>
    <row r="60" spans="1:20" x14ac:dyDescent="0.25">
      <c r="A60" s="301" t="s">
        <v>199</v>
      </c>
      <c r="B60" s="328">
        <v>0.15</v>
      </c>
      <c r="C60" s="316">
        <f>$B$4*B60</f>
        <v>6687.9</v>
      </c>
      <c r="D60" s="316"/>
      <c r="E60" s="302">
        <v>1</v>
      </c>
      <c r="F60" s="302" t="s">
        <v>182</v>
      </c>
      <c r="G60" s="302">
        <v>640</v>
      </c>
      <c r="N60" s="329"/>
      <c r="O60" s="318"/>
    </row>
    <row r="61" spans="1:20" x14ac:dyDescent="0.25">
      <c r="A61" s="301" t="s">
        <v>158</v>
      </c>
      <c r="B61" s="306">
        <v>0.46</v>
      </c>
      <c r="C61" s="316">
        <f>B61*B4</f>
        <v>20509.560000000001</v>
      </c>
      <c r="D61" s="364" t="s">
        <v>111</v>
      </c>
      <c r="E61" s="302">
        <v>1</v>
      </c>
      <c r="F61" s="302" t="s">
        <v>182</v>
      </c>
      <c r="G61" s="363">
        <v>110</v>
      </c>
    </row>
    <row r="63" spans="1:20" x14ac:dyDescent="0.25">
      <c r="A63" s="403" t="s">
        <v>659</v>
      </c>
      <c r="N63" s="319"/>
      <c r="P63" s="322"/>
    </row>
    <row r="64" spans="1:20" ht="31.5" x14ac:dyDescent="0.25">
      <c r="A64" s="307" t="s">
        <v>189</v>
      </c>
      <c r="B64" s="320" t="s">
        <v>634</v>
      </c>
      <c r="C64" s="320" t="s">
        <v>636</v>
      </c>
      <c r="D64" s="320"/>
      <c r="E64" s="63" t="s">
        <v>181</v>
      </c>
      <c r="F64" s="301"/>
      <c r="G64" s="63" t="s">
        <v>183</v>
      </c>
    </row>
    <row r="65" spans="1:9" x14ac:dyDescent="0.25">
      <c r="A65" s="301" t="s">
        <v>646</v>
      </c>
      <c r="B65" s="317">
        <v>1.6</v>
      </c>
      <c r="C65" s="316">
        <f>$B$4*B65</f>
        <v>71337.600000000006</v>
      </c>
      <c r="D65" s="364" t="s">
        <v>111</v>
      </c>
      <c r="E65" s="302">
        <v>1</v>
      </c>
      <c r="F65" s="302" t="s">
        <v>182</v>
      </c>
      <c r="G65" s="302">
        <v>35</v>
      </c>
      <c r="H65" s="301" t="s">
        <v>196</v>
      </c>
      <c r="I65" s="301">
        <v>350</v>
      </c>
    </row>
    <row r="66" spans="1:9" x14ac:dyDescent="0.25">
      <c r="B66" s="317"/>
      <c r="C66" s="316"/>
      <c r="D66" s="316"/>
      <c r="F66" s="301"/>
      <c r="H66" s="302" t="s">
        <v>218</v>
      </c>
      <c r="I66" s="302">
        <v>6</v>
      </c>
    </row>
    <row r="67" spans="1:9" x14ac:dyDescent="0.25">
      <c r="B67" s="317"/>
      <c r="C67" s="316"/>
      <c r="D67" s="316"/>
      <c r="H67" s="302" t="s">
        <v>219</v>
      </c>
      <c r="I67" s="302">
        <v>20</v>
      </c>
    </row>
    <row r="68" spans="1:9" x14ac:dyDescent="0.25">
      <c r="A68" s="301" t="s">
        <v>220</v>
      </c>
      <c r="B68" s="317">
        <v>0.8</v>
      </c>
      <c r="C68" s="316">
        <f t="shared" ref="C68" si="1">$B$4*B68</f>
        <v>35668.800000000003</v>
      </c>
      <c r="D68" s="364" t="s">
        <v>111</v>
      </c>
      <c r="E68" s="302">
        <v>1</v>
      </c>
      <c r="F68" s="302" t="s">
        <v>182</v>
      </c>
      <c r="G68" s="302">
        <f>G65</f>
        <v>35</v>
      </c>
      <c r="H68" s="301" t="s">
        <v>196</v>
      </c>
      <c r="I68" s="301">
        <f>I65</f>
        <v>350</v>
      </c>
    </row>
    <row r="69" spans="1:9" x14ac:dyDescent="0.25">
      <c r="B69" s="317"/>
      <c r="C69" s="316"/>
      <c r="D69" s="316"/>
      <c r="G69" s="302"/>
      <c r="H69" s="302" t="s">
        <v>218</v>
      </c>
      <c r="I69" s="302">
        <f>I66</f>
        <v>6</v>
      </c>
    </row>
    <row r="70" spans="1:9" x14ac:dyDescent="0.25">
      <c r="B70" s="317"/>
      <c r="C70" s="316"/>
      <c r="D70" s="316"/>
      <c r="G70" s="302"/>
      <c r="H70" s="302" t="s">
        <v>219</v>
      </c>
      <c r="I70" s="302">
        <f>I67</f>
        <v>20</v>
      </c>
    </row>
    <row r="71" spans="1:9" x14ac:dyDescent="0.25">
      <c r="A71" s="301" t="s">
        <v>203</v>
      </c>
      <c r="B71" s="328">
        <v>1.4999999999999999E-2</v>
      </c>
      <c r="C71" s="316">
        <f>$B$4*B71</f>
        <v>668.79</v>
      </c>
      <c r="D71" s="316"/>
      <c r="E71" s="302">
        <v>1</v>
      </c>
      <c r="F71" s="302" t="s">
        <v>182</v>
      </c>
      <c r="G71" s="302">
        <v>1</v>
      </c>
    </row>
    <row r="73" spans="1:9" ht="31.5" x14ac:dyDescent="0.25">
      <c r="A73" s="330" t="s">
        <v>197</v>
      </c>
      <c r="B73" s="320" t="s">
        <v>634</v>
      </c>
      <c r="C73" s="320" t="s">
        <v>635</v>
      </c>
      <c r="D73" s="320"/>
      <c r="E73" s="63" t="s">
        <v>181</v>
      </c>
      <c r="F73" s="301"/>
      <c r="G73" s="63" t="s">
        <v>0</v>
      </c>
    </row>
    <row r="74" spans="1:9" x14ac:dyDescent="0.25">
      <c r="A74" s="301" t="s">
        <v>154</v>
      </c>
      <c r="B74" s="317">
        <v>3.5</v>
      </c>
      <c r="C74" s="316">
        <f>$B$4*B74</f>
        <v>156051</v>
      </c>
      <c r="D74" s="364" t="s">
        <v>111</v>
      </c>
      <c r="E74" s="314">
        <v>1</v>
      </c>
      <c r="F74" s="302" t="s">
        <v>182</v>
      </c>
      <c r="G74" s="302">
        <v>1</v>
      </c>
    </row>
    <row r="77" spans="1:9" x14ac:dyDescent="0.25">
      <c r="A77" s="301" t="s">
        <v>653</v>
      </c>
    </row>
  </sheetData>
  <pageMargins left="0.7" right="0.7" top="0.75" bottom="0.75" header="0.3" footer="0.3"/>
  <pageSetup scale="91" fitToHeight="0" orientation="landscape" r:id="rId1"/>
  <rowBreaks count="2" manualBreakCount="2">
    <brk id="30" max="9" man="1"/>
    <brk id="62" max="9" man="1"/>
  </rowBreaks>
  <colBreaks count="1" manualBreakCount="1">
    <brk id="12" max="70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M96"/>
  <sheetViews>
    <sheetView topLeftCell="A70" zoomScaleNormal="100" workbookViewId="0">
      <selection activeCell="B14" sqref="B14"/>
    </sheetView>
  </sheetViews>
  <sheetFormatPr defaultRowHeight="15" x14ac:dyDescent="0.25"/>
  <cols>
    <col min="1" max="1" width="20.85546875" style="1" customWidth="1"/>
    <col min="2" max="2" width="10.28515625" style="1" bestFit="1" customWidth="1"/>
    <col min="3" max="3" width="15" style="1" bestFit="1" customWidth="1"/>
    <col min="4" max="4" width="10.85546875" style="210" bestFit="1" customWidth="1"/>
    <col min="5" max="5" width="15" style="1" bestFit="1" customWidth="1"/>
    <col min="6" max="6" width="13.140625" style="1" customWidth="1"/>
    <col min="7" max="7" width="16.28515625" style="210" bestFit="1" customWidth="1"/>
    <col min="8" max="8" width="12.42578125" style="1" bestFit="1" customWidth="1"/>
    <col min="9" max="9" width="15" style="1" bestFit="1" customWidth="1"/>
    <col min="10" max="10" width="11.7109375" style="210" bestFit="1" customWidth="1"/>
    <col min="11" max="11" width="10.28515625" style="1" bestFit="1" customWidth="1"/>
    <col min="12" max="12" width="13.85546875" style="1" bestFit="1" customWidth="1"/>
    <col min="13" max="13" width="12.7109375" style="1" bestFit="1" customWidth="1"/>
    <col min="14" max="14" width="15" style="1" customWidth="1"/>
    <col min="15" max="15" width="11.140625" style="1" bestFit="1" customWidth="1"/>
    <col min="16" max="16" width="3.85546875" style="1" customWidth="1"/>
    <col min="17" max="17" width="15.28515625" style="1" customWidth="1"/>
    <col min="18" max="18" width="11.140625" style="1" bestFit="1" customWidth="1"/>
    <col min="19" max="19" width="3.85546875" style="1" customWidth="1"/>
    <col min="20" max="20" width="15.5703125" style="1" customWidth="1"/>
    <col min="21" max="21" width="11.140625" style="1" bestFit="1" customWidth="1"/>
    <col min="22" max="16384" width="9.140625" style="1"/>
  </cols>
  <sheetData>
    <row r="1" spans="1:13" ht="23.25" x14ac:dyDescent="0.35">
      <c r="A1" s="207" t="s">
        <v>164</v>
      </c>
      <c r="B1" s="208"/>
      <c r="C1" s="208"/>
    </row>
    <row r="2" spans="1:13" ht="15.75" thickBot="1" x14ac:dyDescent="0.3"/>
    <row r="3" spans="1:13" s="353" customFormat="1" ht="25.5" x14ac:dyDescent="0.2">
      <c r="A3" s="637" t="s">
        <v>139</v>
      </c>
      <c r="B3" s="672"/>
      <c r="C3" s="637" t="s">
        <v>624</v>
      </c>
      <c r="D3" s="673"/>
      <c r="E3" s="637" t="s">
        <v>140</v>
      </c>
      <c r="F3" s="674"/>
      <c r="G3" s="675" t="s">
        <v>614</v>
      </c>
      <c r="H3" s="674"/>
      <c r="I3" s="638" t="s">
        <v>141</v>
      </c>
      <c r="J3" s="674"/>
    </row>
    <row r="4" spans="1:13" s="353" customFormat="1" ht="12.75" x14ac:dyDescent="0.2">
      <c r="A4" s="211" t="s">
        <v>95</v>
      </c>
      <c r="B4" s="43">
        <f>Amounts!C37</f>
        <v>44586</v>
      </c>
      <c r="C4" s="211" t="s">
        <v>636</v>
      </c>
      <c r="D4" s="43">
        <f>Amounts!C38</f>
        <v>11146.5</v>
      </c>
      <c r="E4" s="212" t="s">
        <v>95</v>
      </c>
      <c r="F4" s="43">
        <f>Amounts!C39</f>
        <v>44586</v>
      </c>
      <c r="G4" s="411" t="s">
        <v>95</v>
      </c>
      <c r="H4" s="43">
        <f>Amounts!C40</f>
        <v>22293</v>
      </c>
      <c r="I4" s="212" t="s">
        <v>95</v>
      </c>
      <c r="J4" s="43">
        <f>Amounts!C41</f>
        <v>44586</v>
      </c>
    </row>
    <row r="5" spans="1:13" s="353" customFormat="1" ht="25.5" x14ac:dyDescent="0.2">
      <c r="A5" s="212" t="s">
        <v>138</v>
      </c>
      <c r="B5" s="43">
        <f>B4*$C$10</f>
        <v>12600.0036</v>
      </c>
      <c r="C5" s="212" t="s">
        <v>138</v>
      </c>
      <c r="D5" s="43">
        <f>D4*$C$10</f>
        <v>3150.0009</v>
      </c>
      <c r="E5" s="212" t="s">
        <v>138</v>
      </c>
      <c r="F5" s="43">
        <f>F4*$C$10</f>
        <v>12600.0036</v>
      </c>
      <c r="G5" s="411" t="s">
        <v>138</v>
      </c>
      <c r="H5" s="43">
        <f>H4*$C$10</f>
        <v>6300.0018</v>
      </c>
      <c r="I5" s="212" t="s">
        <v>138</v>
      </c>
      <c r="J5" s="43">
        <f>J4*$C$10</f>
        <v>12600.0036</v>
      </c>
    </row>
    <row r="6" spans="1:13" s="353" customFormat="1" ht="13.5" thickBot="1" x14ac:dyDescent="0.25">
      <c r="A6" s="213" t="s">
        <v>98</v>
      </c>
      <c r="B6" s="44">
        <f>Amounts!B6</f>
        <v>6798</v>
      </c>
      <c r="C6" s="213" t="s">
        <v>98</v>
      </c>
      <c r="D6" s="44">
        <f>Amounts!B6</f>
        <v>6798</v>
      </c>
      <c r="E6" s="213" t="s">
        <v>98</v>
      </c>
      <c r="F6" s="44">
        <f>Amounts!B6</f>
        <v>6798</v>
      </c>
      <c r="G6" s="412" t="s">
        <v>98</v>
      </c>
      <c r="H6" s="44">
        <f>Amounts!B6</f>
        <v>6798</v>
      </c>
      <c r="I6" s="213" t="s">
        <v>98</v>
      </c>
      <c r="J6" s="44">
        <f>Amounts!B6</f>
        <v>6798</v>
      </c>
    </row>
    <row r="7" spans="1:13" s="353" customFormat="1" ht="13.5" thickBot="1" x14ac:dyDescent="0.25">
      <c r="A7" s="35"/>
      <c r="B7" s="214"/>
      <c r="D7" s="666"/>
      <c r="G7" s="666"/>
    </row>
    <row r="8" spans="1:13" s="353" customFormat="1" ht="25.5" x14ac:dyDescent="0.2">
      <c r="A8" s="676" t="s">
        <v>143</v>
      </c>
      <c r="B8" s="215">
        <f>Amounts!B37</f>
        <v>1</v>
      </c>
      <c r="C8" s="676" t="s">
        <v>190</v>
      </c>
      <c r="D8" s="413">
        <f>Amounts!E38</f>
        <v>1</v>
      </c>
      <c r="E8" s="677" t="s">
        <v>144</v>
      </c>
      <c r="F8" s="215">
        <f>Amounts!B39</f>
        <v>1</v>
      </c>
      <c r="G8" s="678" t="s">
        <v>673</v>
      </c>
      <c r="H8" s="215">
        <f>Amounts!E39</f>
        <v>1</v>
      </c>
      <c r="I8" s="676" t="s">
        <v>145</v>
      </c>
      <c r="J8" s="215">
        <f>Amounts!B41</f>
        <v>1</v>
      </c>
    </row>
    <row r="9" spans="1:13" s="353" customFormat="1" ht="13.5" thickBot="1" x14ac:dyDescent="0.25">
      <c r="A9" s="679" t="s">
        <v>606</v>
      </c>
      <c r="B9" s="216">
        <f>Amounts!G37</f>
        <v>350</v>
      </c>
      <c r="C9" s="679" t="s">
        <v>606</v>
      </c>
      <c r="D9" s="414">
        <f>Amounts!G37</f>
        <v>350</v>
      </c>
      <c r="E9" s="679" t="s">
        <v>606</v>
      </c>
      <c r="F9" s="216">
        <f>Amounts!G39</f>
        <v>685</v>
      </c>
      <c r="G9" s="680" t="s">
        <v>606</v>
      </c>
      <c r="H9" s="216">
        <f>Amounts!G40</f>
        <v>685</v>
      </c>
      <c r="I9" s="679" t="s">
        <v>606</v>
      </c>
      <c r="J9" s="216">
        <f>Amounts!G41</f>
        <v>2260</v>
      </c>
    </row>
    <row r="10" spans="1:13" s="353" customFormat="1" ht="13.5" thickBot="1" x14ac:dyDescent="0.25">
      <c r="A10" s="648" t="s">
        <v>137</v>
      </c>
      <c r="C10" s="590">
        <f>Amounts!B9</f>
        <v>0.28260000000000002</v>
      </c>
      <c r="D10" s="666"/>
      <c r="G10" s="666"/>
      <c r="J10" s="666"/>
    </row>
    <row r="11" spans="1:13" ht="15.75" customHeight="1" thickBot="1" x14ac:dyDescent="0.3">
      <c r="B11" s="24"/>
      <c r="C11" s="24"/>
      <c r="D11" s="833" t="s">
        <v>147</v>
      </c>
      <c r="E11" s="834"/>
      <c r="F11" s="834"/>
      <c r="G11" s="834"/>
      <c r="H11" s="834"/>
      <c r="I11" s="834"/>
      <c r="J11" s="834"/>
      <c r="K11" s="834"/>
      <c r="L11" s="834"/>
      <c r="M11" s="882" t="s">
        <v>148</v>
      </c>
    </row>
    <row r="12" spans="1:13" ht="60" x14ac:dyDescent="0.25">
      <c r="A12" s="808" t="s">
        <v>0</v>
      </c>
      <c r="B12" s="706" t="s">
        <v>86</v>
      </c>
      <c r="C12" s="707" t="s">
        <v>184</v>
      </c>
      <c r="D12" s="708" t="s">
        <v>139</v>
      </c>
      <c r="E12" s="709" t="s">
        <v>580</v>
      </c>
      <c r="F12" s="709" t="s">
        <v>624</v>
      </c>
      <c r="G12" s="710" t="s">
        <v>581</v>
      </c>
      <c r="H12" s="709" t="s">
        <v>582</v>
      </c>
      <c r="I12" s="709" t="s">
        <v>613</v>
      </c>
      <c r="J12" s="709" t="s">
        <v>615</v>
      </c>
      <c r="K12" s="710" t="s">
        <v>141</v>
      </c>
      <c r="L12" s="711" t="s">
        <v>583</v>
      </c>
      <c r="M12" s="883"/>
    </row>
    <row r="13" spans="1:13" x14ac:dyDescent="0.25">
      <c r="A13" s="810" t="s">
        <v>715</v>
      </c>
      <c r="B13" s="693" t="s">
        <v>716</v>
      </c>
      <c r="C13" s="693" t="s">
        <v>717</v>
      </c>
      <c r="D13" s="712" t="s">
        <v>718</v>
      </c>
      <c r="E13" s="713" t="s">
        <v>719</v>
      </c>
      <c r="F13" s="714" t="s">
        <v>720</v>
      </c>
      <c r="G13" s="715" t="s">
        <v>721</v>
      </c>
      <c r="H13" s="713" t="s">
        <v>722</v>
      </c>
      <c r="I13" s="713" t="s">
        <v>723</v>
      </c>
      <c r="J13" s="713" t="s">
        <v>724</v>
      </c>
      <c r="K13" s="715" t="s">
        <v>725</v>
      </c>
      <c r="L13" s="716" t="s">
        <v>726</v>
      </c>
      <c r="M13" s="705" t="s">
        <v>727</v>
      </c>
    </row>
    <row r="14" spans="1:13" x14ac:dyDescent="0.25">
      <c r="A14" s="41" t="s">
        <v>4</v>
      </c>
      <c r="B14" s="232">
        <v>2915.96</v>
      </c>
      <c r="C14" s="69">
        <f>SUM('K '!L15,'1-3 '!J15,'4-6'!J15,'7-8 '!J15,'9-12 '!J15,'Special Ed (Simplified)'!I15,'Special Ed (Goal)'!T15)</f>
        <v>186.0934763298053</v>
      </c>
      <c r="D14" s="586">
        <f>($B$8*(B14/$B$9))</f>
        <v>8.331314285714285</v>
      </c>
      <c r="E14" s="587">
        <f>($B$4+$B$5+$B$6)*D14</f>
        <v>533070.84324987419</v>
      </c>
      <c r="F14" s="588">
        <f>B14/$D$9*$D$8*($D$4+$D$5+$D$6)</f>
        <v>175744.91669818285</v>
      </c>
      <c r="G14" s="589">
        <f>($F$8*(B14/$F$9))</f>
        <v>4.2568759124087592</v>
      </c>
      <c r="H14" s="587">
        <f>($F$4+$F$5+$F$6)*G14</f>
        <v>272371.96370431531</v>
      </c>
      <c r="I14" s="589">
        <f>($H$8*(B14/$H$9))</f>
        <v>4.2568759124087592</v>
      </c>
      <c r="J14" s="587">
        <f>($H$4+$H$5+$H$6)*I14</f>
        <v>150655.10307843503</v>
      </c>
      <c r="K14" s="589">
        <f>($J$8*(B14/$J$9))</f>
        <v>1.2902477876106195</v>
      </c>
      <c r="L14" s="717">
        <f>($J$4+$J$5+$J$6)*K14</f>
        <v>82555.219087369915</v>
      </c>
      <c r="M14" s="703">
        <f>E14+H14+J14+L14+F14</f>
        <v>1214398.0458181773</v>
      </c>
    </row>
    <row r="15" spans="1:13" x14ac:dyDescent="0.25">
      <c r="A15" s="41" t="s">
        <v>5</v>
      </c>
      <c r="B15" s="219">
        <v>23246.81</v>
      </c>
      <c r="C15" s="39">
        <f>SUM('K '!L16,'1-3 '!J16,'4-6'!J16,'7-8 '!J16,'9-12 '!J16,'Special Ed (Simplified)'!I16,'Special Ed (Goal)'!T16)</f>
        <v>1466.4360887812882</v>
      </c>
      <c r="D15" s="64">
        <f t="shared" ref="D15:D78" si="0">($B$8*(B15/$B$9))</f>
        <v>66.419457142857141</v>
      </c>
      <c r="E15" s="220">
        <f t="shared" ref="E15:E78" si="1">($B$4+$B$5+$B$6)*D15</f>
        <v>4249782.7849386167</v>
      </c>
      <c r="F15" s="338">
        <f t="shared" ref="F15:F78" si="2">B15/$D$9*$D$8*($D$4+$D$5+$D$6)</f>
        <v>1401085.2984775114</v>
      </c>
      <c r="G15" s="221">
        <f t="shared" ref="G15:G78" si="3">($F$8*(B15/$F$9))</f>
        <v>33.936948905109489</v>
      </c>
      <c r="H15" s="220">
        <f t="shared" ref="H15:H78" si="4">($F$4+$F$5+$F$6)*G15</f>
        <v>2171421.8609175417</v>
      </c>
      <c r="I15" s="221">
        <f t="shared" ref="I15:I78" si="5">($H$8*(B15/$H$9))</f>
        <v>33.936948905109489</v>
      </c>
      <c r="J15" s="220">
        <f t="shared" ref="J15:J78" si="6">($H$4+$H$5+$H$6)*I15</f>
        <v>1201062.6197872378</v>
      </c>
      <c r="K15" s="221">
        <f t="shared" ref="K15:K78" si="7">($J$8*(B15/$J$9))</f>
        <v>10.286199115044248</v>
      </c>
      <c r="L15" s="338">
        <f t="shared" ref="L15:L78" si="8">($J$4+$J$5+$J$6)*K15</f>
        <v>658152.20120730798</v>
      </c>
      <c r="M15" s="27">
        <f t="shared" ref="M15:M45" si="9">E15+H15+J15+L15+F15</f>
        <v>9681504.7653282154</v>
      </c>
    </row>
    <row r="16" spans="1:13" x14ac:dyDescent="0.25">
      <c r="A16" s="41" t="s">
        <v>6</v>
      </c>
      <c r="B16" s="219">
        <v>1028.55</v>
      </c>
      <c r="C16" s="39">
        <f>SUM('K '!L17,'1-3 '!J17,'4-6'!J17,'7-8 '!J17,'9-12 '!J17,'Special Ed (Simplified)'!I17,'Special Ed (Goal)'!T17)</f>
        <v>69.316766251046957</v>
      </c>
      <c r="D16" s="64">
        <f t="shared" si="0"/>
        <v>2.9387142857142856</v>
      </c>
      <c r="E16" s="220">
        <f t="shared" si="1"/>
        <v>188030.70543651428</v>
      </c>
      <c r="F16" s="338">
        <f t="shared" si="2"/>
        <v>61990.711144842855</v>
      </c>
      <c r="G16" s="221">
        <f t="shared" si="3"/>
        <v>1.5015328467153284</v>
      </c>
      <c r="H16" s="220">
        <f t="shared" si="4"/>
        <v>96074.08306975181</v>
      </c>
      <c r="I16" s="221">
        <f t="shared" si="5"/>
        <v>1.5015328467153284</v>
      </c>
      <c r="J16" s="220">
        <f t="shared" si="6"/>
        <v>53140.751680861307</v>
      </c>
      <c r="K16" s="221">
        <f t="shared" si="7"/>
        <v>0.45511061946902653</v>
      </c>
      <c r="L16" s="338">
        <f t="shared" si="8"/>
        <v>29119.799514504422</v>
      </c>
      <c r="M16" s="27">
        <f t="shared" si="9"/>
        <v>428356.05084647465</v>
      </c>
    </row>
    <row r="17" spans="1:13" x14ac:dyDescent="0.25">
      <c r="A17" s="41" t="s">
        <v>7</v>
      </c>
      <c r="B17" s="219">
        <v>9875.19</v>
      </c>
      <c r="C17" s="39">
        <f>SUM('K '!L18,'1-3 '!J18,'4-6'!J18,'7-8 '!J18,'9-12 '!J18,'Special Ed (Simplified)'!I18,'Special Ed (Goal)'!T18)</f>
        <v>601.41425616563811</v>
      </c>
      <c r="D17" s="64">
        <f t="shared" si="0"/>
        <v>28.214828571428573</v>
      </c>
      <c r="E17" s="220">
        <f t="shared" si="1"/>
        <v>1805297.6928876685</v>
      </c>
      <c r="F17" s="338">
        <f t="shared" si="2"/>
        <v>595177.7266933457</v>
      </c>
      <c r="G17" s="221">
        <f t="shared" si="3"/>
        <v>14.416335766423359</v>
      </c>
      <c r="H17" s="220">
        <f t="shared" si="4"/>
        <v>922414.87957764091</v>
      </c>
      <c r="I17" s="221">
        <f t="shared" si="5"/>
        <v>14.416335766423359</v>
      </c>
      <c r="J17" s="220">
        <f t="shared" si="6"/>
        <v>510208.56505889347</v>
      </c>
      <c r="K17" s="221">
        <f t="shared" si="7"/>
        <v>4.3695530973451326</v>
      </c>
      <c r="L17" s="338">
        <f t="shared" si="8"/>
        <v>279581.50111092208</v>
      </c>
      <c r="M17" s="27">
        <f t="shared" si="9"/>
        <v>4112680.3653284707</v>
      </c>
    </row>
    <row r="18" spans="1:13" x14ac:dyDescent="0.25">
      <c r="A18" s="41" t="s">
        <v>8</v>
      </c>
      <c r="B18" s="219">
        <v>3618.89</v>
      </c>
      <c r="C18" s="39">
        <f>SUM('K '!L19,'1-3 '!J19,'4-6'!J19,'7-8 '!J19,'9-12 '!J19,'Special Ed (Simplified)'!I19,'Special Ed (Goal)'!T19)</f>
        <v>232.05412247449564</v>
      </c>
      <c r="D18" s="64">
        <f t="shared" si="0"/>
        <v>10.339685714285714</v>
      </c>
      <c r="E18" s="220">
        <f t="shared" si="1"/>
        <v>661574.48796572571</v>
      </c>
      <c r="F18" s="338">
        <f t="shared" si="2"/>
        <v>218110.50960571715</v>
      </c>
      <c r="G18" s="221">
        <f t="shared" si="3"/>
        <v>5.2830510948905109</v>
      </c>
      <c r="H18" s="220">
        <f t="shared" si="4"/>
        <v>338030.76027445839</v>
      </c>
      <c r="I18" s="221">
        <f t="shared" si="5"/>
        <v>5.2830510948905109</v>
      </c>
      <c r="J18" s="220">
        <f t="shared" si="6"/>
        <v>186972.47080876204</v>
      </c>
      <c r="K18" s="221">
        <f t="shared" si="7"/>
        <v>1.6012787610619468</v>
      </c>
      <c r="L18" s="338">
        <f t="shared" si="8"/>
        <v>102456.22601239114</v>
      </c>
      <c r="M18" s="27">
        <f t="shared" si="9"/>
        <v>1507144.4546670543</v>
      </c>
    </row>
    <row r="19" spans="1:13" x14ac:dyDescent="0.25">
      <c r="A19" s="41" t="s">
        <v>9</v>
      </c>
      <c r="B19" s="219">
        <v>2479.0500000000002</v>
      </c>
      <c r="C19" s="39">
        <f>SUM('K '!L20,'1-3 '!J20,'4-6'!J20,'7-8 '!J20,'9-12 '!J20,'Special Ed (Simplified)'!I20,'Special Ed (Goal)'!T20)</f>
        <v>161.82754788098188</v>
      </c>
      <c r="D19" s="64">
        <f t="shared" si="0"/>
        <v>7.0830000000000002</v>
      </c>
      <c r="E19" s="220">
        <f t="shared" si="1"/>
        <v>453198.6974988</v>
      </c>
      <c r="F19" s="338">
        <f t="shared" si="2"/>
        <v>149412.34987469998</v>
      </c>
      <c r="G19" s="221">
        <f t="shared" si="3"/>
        <v>3.6190510948905112</v>
      </c>
      <c r="H19" s="220">
        <f t="shared" si="4"/>
        <v>231561.37828405839</v>
      </c>
      <c r="I19" s="221">
        <f t="shared" si="5"/>
        <v>3.6190510948905112</v>
      </c>
      <c r="J19" s="220">
        <f t="shared" si="6"/>
        <v>128081.84381356205</v>
      </c>
      <c r="K19" s="221">
        <f t="shared" si="7"/>
        <v>1.0969247787610621</v>
      </c>
      <c r="L19" s="338">
        <f t="shared" si="8"/>
        <v>70185.638993176995</v>
      </c>
      <c r="M19" s="27">
        <f t="shared" si="9"/>
        <v>1032439.9084642974</v>
      </c>
    </row>
    <row r="20" spans="1:13" x14ac:dyDescent="0.25">
      <c r="A20" s="41" t="s">
        <v>10</v>
      </c>
      <c r="B20" s="219">
        <v>2744.29</v>
      </c>
      <c r="C20" s="39">
        <f>SUM('K '!L21,'1-3 '!J21,'4-6'!J21,'7-8 '!J21,'9-12 '!J21,'Special Ed (Simplified)'!I21,'Special Ed (Goal)'!T21)</f>
        <v>174.96329925459273</v>
      </c>
      <c r="D20" s="64">
        <f t="shared" si="0"/>
        <v>7.8408285714285713</v>
      </c>
      <c r="E20" s="220">
        <f t="shared" si="1"/>
        <v>501687.60354126856</v>
      </c>
      <c r="F20" s="338">
        <f t="shared" si="2"/>
        <v>165398.36535674569</v>
      </c>
      <c r="G20" s="221">
        <f t="shared" si="3"/>
        <v>4.0062627737226277</v>
      </c>
      <c r="H20" s="220">
        <f t="shared" si="4"/>
        <v>256336.73173641457</v>
      </c>
      <c r="I20" s="221">
        <f t="shared" si="5"/>
        <v>4.0062627737226277</v>
      </c>
      <c r="J20" s="220">
        <f t="shared" si="6"/>
        <v>141785.65303609052</v>
      </c>
      <c r="K20" s="221">
        <f t="shared" si="7"/>
        <v>1.2142876106194691</v>
      </c>
      <c r="L20" s="338">
        <f t="shared" si="8"/>
        <v>77694.982849311506</v>
      </c>
      <c r="M20" s="27">
        <f t="shared" si="9"/>
        <v>1142903.3365198309</v>
      </c>
    </row>
    <row r="21" spans="1:13" x14ac:dyDescent="0.25">
      <c r="A21" s="41" t="s">
        <v>11</v>
      </c>
      <c r="B21" s="219">
        <v>12671.61</v>
      </c>
      <c r="C21" s="39">
        <f>SUM('K '!L22,'1-3 '!J22,'4-6'!J22,'7-8 '!J22,'9-12 '!J22,'Special Ed (Simplified)'!I22,'Special Ed (Goal)'!T23)</f>
        <v>801.04198960022097</v>
      </c>
      <c r="D21" s="64">
        <f t="shared" si="0"/>
        <v>36.204599999999999</v>
      </c>
      <c r="E21" s="220">
        <f t="shared" si="1"/>
        <v>2316515.2567365598</v>
      </c>
      <c r="F21" s="338">
        <f t="shared" si="2"/>
        <v>763717.96728413994</v>
      </c>
      <c r="G21" s="221">
        <f t="shared" si="3"/>
        <v>18.498700729927009</v>
      </c>
      <c r="H21" s="220">
        <f t="shared" si="4"/>
        <v>1183620.9340989722</v>
      </c>
      <c r="I21" s="221">
        <f t="shared" si="5"/>
        <v>18.498700729927009</v>
      </c>
      <c r="J21" s="220">
        <f t="shared" si="6"/>
        <v>654687.550830508</v>
      </c>
      <c r="K21" s="221">
        <f t="shared" si="7"/>
        <v>5.6069070796460183</v>
      </c>
      <c r="L21" s="338">
        <f t="shared" si="8"/>
        <v>358752.36276893632</v>
      </c>
      <c r="M21" s="27">
        <f t="shared" si="9"/>
        <v>5277294.0717191165</v>
      </c>
    </row>
    <row r="22" spans="1:13" x14ac:dyDescent="0.25">
      <c r="A22" s="41" t="s">
        <v>12</v>
      </c>
      <c r="B22" s="219">
        <v>1256.76</v>
      </c>
      <c r="C22" s="39">
        <f>SUM('K '!L23,'1-3 '!J23,'4-6'!J23,'7-8 '!J23,'9-12 '!J23,'Special Ed (Simplified)'!I23,'Special Ed (Goal)'!T24)</f>
        <v>82.03054419581116</v>
      </c>
      <c r="D22" s="64">
        <f t="shared" si="0"/>
        <v>3.5907428571428572</v>
      </c>
      <c r="E22" s="220">
        <f t="shared" si="1"/>
        <v>229750.10389810285</v>
      </c>
      <c r="F22" s="338">
        <f t="shared" si="2"/>
        <v>75744.928431668566</v>
      </c>
      <c r="G22" s="221">
        <f t="shared" si="3"/>
        <v>1.8346861313868612</v>
      </c>
      <c r="H22" s="220">
        <f t="shared" si="4"/>
        <v>117390.564035527</v>
      </c>
      <c r="I22" s="221">
        <f t="shared" si="5"/>
        <v>1.8346861313868612</v>
      </c>
      <c r="J22" s="220">
        <f t="shared" si="6"/>
        <v>64931.380178347441</v>
      </c>
      <c r="K22" s="221">
        <f t="shared" si="7"/>
        <v>0.55608849557522122</v>
      </c>
      <c r="L22" s="338">
        <f t="shared" si="8"/>
        <v>35580.768302803539</v>
      </c>
      <c r="M22" s="27">
        <f t="shared" si="9"/>
        <v>523397.74484644935</v>
      </c>
    </row>
    <row r="23" spans="1:13" x14ac:dyDescent="0.25">
      <c r="A23" s="41" t="s">
        <v>13</v>
      </c>
      <c r="B23" s="219">
        <v>638.25</v>
      </c>
      <c r="C23" s="39">
        <f>SUM('K '!L24,'1-3 '!J24,'4-6'!J24,'7-8 '!J24,'9-12 '!J24,'Special Ed (Simplified)'!I24,'Special Ed (Goal)'!T25)</f>
        <v>45.809135494692619</v>
      </c>
      <c r="D23" s="64">
        <f t="shared" si="0"/>
        <v>1.8235714285714286</v>
      </c>
      <c r="E23" s="220">
        <f t="shared" si="1"/>
        <v>116679.40085057143</v>
      </c>
      <c r="F23" s="338">
        <f t="shared" si="2"/>
        <v>38467.329141214286</v>
      </c>
      <c r="G23" s="221">
        <f t="shared" si="3"/>
        <v>0.93175182481751828</v>
      </c>
      <c r="H23" s="220">
        <f t="shared" si="4"/>
        <v>59617.212113430658</v>
      </c>
      <c r="I23" s="221">
        <f t="shared" si="5"/>
        <v>0.93175182481751828</v>
      </c>
      <c r="J23" s="220">
        <f t="shared" si="6"/>
        <v>32975.630509270071</v>
      </c>
      <c r="K23" s="221">
        <f t="shared" si="7"/>
        <v>0.28241150442477875</v>
      </c>
      <c r="L23" s="338">
        <f t="shared" si="8"/>
        <v>18069.818715796457</v>
      </c>
      <c r="M23" s="27">
        <f t="shared" si="9"/>
        <v>265809.3913302829</v>
      </c>
    </row>
    <row r="24" spans="1:13" x14ac:dyDescent="0.25">
      <c r="A24" s="41" t="s">
        <v>14</v>
      </c>
      <c r="B24" s="219">
        <v>587.14</v>
      </c>
      <c r="C24" s="39">
        <f>SUM('K '!L25,'1-3 '!J25,'4-6'!J25,'7-8 '!J25,'9-12 '!J25,'Special Ed (Simplified)'!I25,'Special Ed (Goal)'!T26)</f>
        <v>40.998846091204371</v>
      </c>
      <c r="D24" s="64">
        <f t="shared" si="0"/>
        <v>1.677542857142857</v>
      </c>
      <c r="E24" s="220">
        <f t="shared" si="1"/>
        <v>107335.90821058284</v>
      </c>
      <c r="F24" s="338">
        <f t="shared" si="2"/>
        <v>35386.929309788567</v>
      </c>
      <c r="G24" s="221">
        <f t="shared" si="3"/>
        <v>0.85713868613138688</v>
      </c>
      <c r="H24" s="220">
        <f t="shared" si="4"/>
        <v>54843.164779129926</v>
      </c>
      <c r="I24" s="221">
        <f t="shared" si="5"/>
        <v>0.85713868613138688</v>
      </c>
      <c r="J24" s="220">
        <f t="shared" si="6"/>
        <v>30334.996783725546</v>
      </c>
      <c r="K24" s="221">
        <f t="shared" si="7"/>
        <v>0.25979646017699115</v>
      </c>
      <c r="L24" s="338">
        <f t="shared" si="8"/>
        <v>16622.817643231858</v>
      </c>
      <c r="M24" s="27">
        <f t="shared" si="9"/>
        <v>244523.81672645872</v>
      </c>
    </row>
    <row r="25" spans="1:13" x14ac:dyDescent="0.25">
      <c r="A25" s="41" t="s">
        <v>15</v>
      </c>
      <c r="B25" s="219">
        <v>822.79</v>
      </c>
      <c r="C25" s="39">
        <f>SUM('K '!L26,'1-3 '!J26,'4-6'!J26,'7-8 '!J26,'9-12 '!J26,'Special Ed (Simplified)'!I26,'Special Ed (Goal)'!T27)</f>
        <v>54.369716113994578</v>
      </c>
      <c r="D25" s="64">
        <f t="shared" si="0"/>
        <v>2.3508285714285715</v>
      </c>
      <c r="E25" s="220">
        <f t="shared" si="1"/>
        <v>150415.42377726856</v>
      </c>
      <c r="F25" s="338">
        <f t="shared" si="2"/>
        <v>49589.555415745715</v>
      </c>
      <c r="G25" s="221">
        <f t="shared" si="3"/>
        <v>1.2011532846715327</v>
      </c>
      <c r="H25" s="220">
        <f t="shared" si="4"/>
        <v>76854.596090575171</v>
      </c>
      <c r="I25" s="221">
        <f t="shared" si="5"/>
        <v>1.2011532846715327</v>
      </c>
      <c r="J25" s="220">
        <f t="shared" si="6"/>
        <v>42510.018059886126</v>
      </c>
      <c r="K25" s="221">
        <f t="shared" si="7"/>
        <v>0.36406637168141592</v>
      </c>
      <c r="L25" s="338">
        <f t="shared" si="8"/>
        <v>23294.424036302655</v>
      </c>
      <c r="M25" s="27">
        <f t="shared" si="9"/>
        <v>342664.0173797782</v>
      </c>
    </row>
    <row r="26" spans="1:13" x14ac:dyDescent="0.25">
      <c r="A26" s="41" t="s">
        <v>16</v>
      </c>
      <c r="B26" s="219">
        <v>2117.3200000000002</v>
      </c>
      <c r="C26" s="39">
        <f>SUM('K '!L27,'1-3 '!J27,'4-6'!J27,'7-8 '!J27,'9-12 '!J27,'Special Ed (Simplified)'!I27,'Special Ed (Goal)'!T28)</f>
        <v>140.96700045489638</v>
      </c>
      <c r="D26" s="64">
        <f t="shared" si="0"/>
        <v>6.0494857142857148</v>
      </c>
      <c r="E26" s="220">
        <f t="shared" si="1"/>
        <v>387070.31572100573</v>
      </c>
      <c r="F26" s="338">
        <f t="shared" si="2"/>
        <v>127610.88184453714</v>
      </c>
      <c r="G26" s="221">
        <f t="shared" si="3"/>
        <v>3.0909781021897813</v>
      </c>
      <c r="H26" s="220">
        <f t="shared" si="4"/>
        <v>197773.15401803213</v>
      </c>
      <c r="I26" s="221">
        <f t="shared" si="5"/>
        <v>3.0909781021897813</v>
      </c>
      <c r="J26" s="220">
        <f t="shared" si="6"/>
        <v>109392.81157835913</v>
      </c>
      <c r="K26" s="221">
        <f t="shared" si="7"/>
        <v>0.93686725663716819</v>
      </c>
      <c r="L26" s="338">
        <f t="shared" si="8"/>
        <v>59944.51792139469</v>
      </c>
      <c r="M26" s="27">
        <f t="shared" si="9"/>
        <v>881791.68108332867</v>
      </c>
    </row>
    <row r="27" spans="1:13" x14ac:dyDescent="0.25">
      <c r="A27" s="41" t="s">
        <v>17</v>
      </c>
      <c r="B27" s="219">
        <v>21287.25</v>
      </c>
      <c r="C27" s="39">
        <f>SUM('K '!L28,'1-3 '!J28,'4-6'!J28,'7-8 '!J28,'9-12 '!J28,'Special Ed (Simplified)'!I28,'Special Ed (Goal)'!T29)</f>
        <v>1276.8656224340612</v>
      </c>
      <c r="D27" s="64">
        <f t="shared" si="0"/>
        <v>60.820714285714288</v>
      </c>
      <c r="E27" s="220">
        <f t="shared" si="1"/>
        <v>3891552.8018117142</v>
      </c>
      <c r="F27" s="338">
        <f t="shared" si="2"/>
        <v>1282982.6122386428</v>
      </c>
      <c r="G27" s="221">
        <f t="shared" si="3"/>
        <v>31.076277372262773</v>
      </c>
      <c r="H27" s="220">
        <f t="shared" si="4"/>
        <v>1988384.6432614597</v>
      </c>
      <c r="I27" s="221">
        <f t="shared" si="5"/>
        <v>31.076277372262773</v>
      </c>
      <c r="J27" s="220">
        <f t="shared" si="6"/>
        <v>1099820.5884190509</v>
      </c>
      <c r="K27" s="221">
        <f t="shared" si="7"/>
        <v>9.4191371681415923</v>
      </c>
      <c r="L27" s="338">
        <f t="shared" si="8"/>
        <v>602674.10647526546</v>
      </c>
      <c r="M27" s="27">
        <f t="shared" si="9"/>
        <v>8865414.7522061337</v>
      </c>
    </row>
    <row r="28" spans="1:13" x14ac:dyDescent="0.25">
      <c r="A28" s="41" t="s">
        <v>18</v>
      </c>
      <c r="B28" s="219">
        <v>34520.18</v>
      </c>
      <c r="C28" s="39">
        <f>SUM('K '!L29,'1-3 '!J29,'4-6'!J29,'7-8 '!J29,'9-12 '!J29,'Special Ed (Simplified)'!I29,'Special Ed (Goal)'!T30)</f>
        <v>2112.1296814906145</v>
      </c>
      <c r="D28" s="64">
        <f t="shared" si="0"/>
        <v>98.629085714285722</v>
      </c>
      <c r="E28" s="220">
        <f t="shared" si="1"/>
        <v>6310683.7754075658</v>
      </c>
      <c r="F28" s="338">
        <f t="shared" si="2"/>
        <v>2080531.3373661772</v>
      </c>
      <c r="G28" s="221">
        <f t="shared" si="3"/>
        <v>50.394423357664238</v>
      </c>
      <c r="H28" s="220">
        <f t="shared" si="4"/>
        <v>3224436.9655367127</v>
      </c>
      <c r="I28" s="221">
        <f t="shared" si="5"/>
        <v>50.394423357664238</v>
      </c>
      <c r="J28" s="220">
        <f t="shared" si="6"/>
        <v>1783509.1277610569</v>
      </c>
      <c r="K28" s="221">
        <f t="shared" si="7"/>
        <v>15.27441592920354</v>
      </c>
      <c r="L28" s="338">
        <f t="shared" si="8"/>
        <v>977318.28380205657</v>
      </c>
      <c r="M28" s="27">
        <f t="shared" si="9"/>
        <v>14376479.489873568</v>
      </c>
    </row>
    <row r="29" spans="1:13" x14ac:dyDescent="0.25">
      <c r="A29" s="41" t="s">
        <v>19</v>
      </c>
      <c r="B29" s="219">
        <v>1587.18</v>
      </c>
      <c r="C29" s="39">
        <f>SUM('K '!L30,'1-3 '!J30,'4-6'!J30,'7-8 '!J30,'9-12 '!J30,'Special Ed (Simplified)'!I30,'Special Ed (Goal)'!T31)</f>
        <v>106.40035626933674</v>
      </c>
      <c r="D29" s="64">
        <f t="shared" si="0"/>
        <v>4.5348000000000006</v>
      </c>
      <c r="E29" s="220">
        <f t="shared" si="1"/>
        <v>290154.65952528</v>
      </c>
      <c r="F29" s="338">
        <f t="shared" si="2"/>
        <v>95659.342681320006</v>
      </c>
      <c r="G29" s="221">
        <f t="shared" si="3"/>
        <v>2.3170510948905112</v>
      </c>
      <c r="H29" s="220">
        <f t="shared" si="4"/>
        <v>148254.2055968584</v>
      </c>
      <c r="I29" s="221">
        <f t="shared" si="5"/>
        <v>2.3170510948905112</v>
      </c>
      <c r="J29" s="220">
        <f t="shared" si="6"/>
        <v>82002.759469962053</v>
      </c>
      <c r="K29" s="221">
        <f t="shared" si="7"/>
        <v>0.70229203539823015</v>
      </c>
      <c r="L29" s="338">
        <f t="shared" si="8"/>
        <v>44935.456121171686</v>
      </c>
      <c r="M29" s="27">
        <f t="shared" si="9"/>
        <v>661006.42339459213</v>
      </c>
    </row>
    <row r="30" spans="1:13" x14ac:dyDescent="0.25">
      <c r="A30" s="41" t="s">
        <v>20</v>
      </c>
      <c r="B30" s="219">
        <v>46485.36</v>
      </c>
      <c r="C30" s="39">
        <f>SUM('K '!L31,'1-3 '!J31,'4-6'!J31,'7-8 '!J31,'9-12 '!J31,'Special Ed (Simplified)'!I31,'Special Ed (Goal)'!T32)</f>
        <v>2764.1147514120739</v>
      </c>
      <c r="D30" s="64">
        <f t="shared" si="0"/>
        <v>132.81531428571429</v>
      </c>
      <c r="E30" s="220">
        <f t="shared" si="1"/>
        <v>8498055.5473922752</v>
      </c>
      <c r="F30" s="338">
        <f t="shared" si="2"/>
        <v>2801672.7667337828</v>
      </c>
      <c r="G30" s="221">
        <f t="shared" si="3"/>
        <v>67.861839416058402</v>
      </c>
      <c r="H30" s="220">
        <f t="shared" si="4"/>
        <v>4342072.1774997022</v>
      </c>
      <c r="I30" s="221">
        <f t="shared" si="5"/>
        <v>67.861839416058402</v>
      </c>
      <c r="J30" s="220">
        <f t="shared" si="6"/>
        <v>2401698.4809250338</v>
      </c>
      <c r="K30" s="221">
        <f t="shared" si="7"/>
        <v>20.56874336283186</v>
      </c>
      <c r="L30" s="338">
        <f t="shared" si="8"/>
        <v>1316070.5493749098</v>
      </c>
      <c r="M30" s="27">
        <f t="shared" si="9"/>
        <v>19359569.521925703</v>
      </c>
    </row>
    <row r="31" spans="1:13" x14ac:dyDescent="0.25">
      <c r="A31" s="41" t="s">
        <v>21</v>
      </c>
      <c r="B31" s="219">
        <v>8259.2199999999993</v>
      </c>
      <c r="C31" s="39">
        <f>SUM('K '!L32,'1-3 '!J32,'4-6'!J32,'7-8 '!J32,'9-12 '!J32,'Special Ed (Simplified)'!I32,'Special Ed (Goal)'!T33)</f>
        <v>528.80302009104196</v>
      </c>
      <c r="D31" s="64">
        <f t="shared" si="0"/>
        <v>23.597771428571427</v>
      </c>
      <c r="E31" s="220">
        <f t="shared" si="1"/>
        <v>1509879.8920376913</v>
      </c>
      <c r="F31" s="338">
        <f t="shared" si="2"/>
        <v>497783.21063799423</v>
      </c>
      <c r="G31" s="221">
        <f t="shared" si="3"/>
        <v>12.057255474452553</v>
      </c>
      <c r="H31" s="220">
        <f t="shared" si="4"/>
        <v>771471.47768349189</v>
      </c>
      <c r="I31" s="221">
        <f t="shared" si="5"/>
        <v>12.057255474452553</v>
      </c>
      <c r="J31" s="220">
        <f t="shared" si="6"/>
        <v>426718.35019941017</v>
      </c>
      <c r="K31" s="221">
        <f t="shared" si="7"/>
        <v>3.654522123893805</v>
      </c>
      <c r="L31" s="338">
        <f t="shared" si="8"/>
        <v>233830.95673150086</v>
      </c>
      <c r="M31" s="27">
        <f t="shared" si="9"/>
        <v>3439683.8872900885</v>
      </c>
    </row>
    <row r="32" spans="1:13" x14ac:dyDescent="0.25">
      <c r="A32" s="41" t="s">
        <v>22</v>
      </c>
      <c r="B32" s="219">
        <v>4970.04</v>
      </c>
      <c r="C32" s="39">
        <f>SUM('K '!L33,'1-3 '!J33,'4-6'!J33,'7-8 '!J33,'9-12 '!J33,'Special Ed (Simplified)'!I33,'Special Ed (Goal)'!T34)</f>
        <v>323.99397119970934</v>
      </c>
      <c r="D32" s="64">
        <f t="shared" si="0"/>
        <v>14.200114285714285</v>
      </c>
      <c r="E32" s="220">
        <f t="shared" si="1"/>
        <v>908580.16357755417</v>
      </c>
      <c r="F32" s="338">
        <f t="shared" si="2"/>
        <v>299544.32358010282</v>
      </c>
      <c r="G32" s="221">
        <f t="shared" si="3"/>
        <v>7.2555328467153286</v>
      </c>
      <c r="H32" s="220">
        <f t="shared" si="4"/>
        <v>464238.03978415183</v>
      </c>
      <c r="I32" s="221">
        <f t="shared" si="5"/>
        <v>7.2555328467153286</v>
      </c>
      <c r="J32" s="220">
        <f t="shared" si="6"/>
        <v>256780.57603806129</v>
      </c>
      <c r="K32" s="221">
        <f t="shared" si="7"/>
        <v>2.1991327433628318</v>
      </c>
      <c r="L32" s="338">
        <f t="shared" si="8"/>
        <v>140709.31736820529</v>
      </c>
      <c r="M32" s="27">
        <f t="shared" si="9"/>
        <v>2069852.420348075</v>
      </c>
    </row>
    <row r="33" spans="1:13" x14ac:dyDescent="0.25">
      <c r="A33" s="41" t="s">
        <v>23</v>
      </c>
      <c r="B33" s="219">
        <v>6691.02</v>
      </c>
      <c r="C33" s="39">
        <f>SUM('K '!L34,'1-3 '!J34,'4-6'!J34,'7-8 '!J34,'9-12 '!J34,'Special Ed (Simplified)'!I34,'Special Ed (Goal)'!T35)</f>
        <v>423.81762826024436</v>
      </c>
      <c r="D33" s="64">
        <f t="shared" si="0"/>
        <v>19.1172</v>
      </c>
      <c r="E33" s="220">
        <f t="shared" si="1"/>
        <v>1223194.99362192</v>
      </c>
      <c r="F33" s="338">
        <f t="shared" si="2"/>
        <v>403267.79260548</v>
      </c>
      <c r="G33" s="221">
        <f t="shared" si="3"/>
        <v>9.7679124087591251</v>
      </c>
      <c r="H33" s="220">
        <f t="shared" si="4"/>
        <v>624990.14272652846</v>
      </c>
      <c r="I33" s="221">
        <f t="shared" si="5"/>
        <v>9.7679124087591251</v>
      </c>
      <c r="J33" s="220">
        <f t="shared" si="6"/>
        <v>345696.2056406365</v>
      </c>
      <c r="K33" s="221">
        <f t="shared" si="7"/>
        <v>2.9606283185840709</v>
      </c>
      <c r="L33" s="338">
        <f t="shared" si="8"/>
        <v>189432.85299454513</v>
      </c>
      <c r="M33" s="27">
        <f t="shared" si="9"/>
        <v>2786581.9875891106</v>
      </c>
    </row>
    <row r="34" spans="1:13" x14ac:dyDescent="0.25">
      <c r="A34" s="41" t="s">
        <v>24</v>
      </c>
      <c r="B34" s="219">
        <v>710.4</v>
      </c>
      <c r="C34" s="39">
        <f>SUM('K '!L35,'1-3 '!J35,'4-6'!J35,'7-8 '!J35,'9-12 '!J35,'Special Ed (Simplified)'!I35,'Special Ed (Goal)'!T36)</f>
        <v>50.999651942508052</v>
      </c>
      <c r="D34" s="64">
        <f t="shared" si="0"/>
        <v>2.0297142857142858</v>
      </c>
      <c r="E34" s="220">
        <f t="shared" si="1"/>
        <v>129869.24616411429</v>
      </c>
      <c r="F34" s="338">
        <f t="shared" si="2"/>
        <v>42815.809826742858</v>
      </c>
      <c r="G34" s="221">
        <f t="shared" si="3"/>
        <v>1.0370802919708029</v>
      </c>
      <c r="H34" s="220">
        <f t="shared" si="4"/>
        <v>66356.549134948902</v>
      </c>
      <c r="I34" s="221">
        <f t="shared" si="5"/>
        <v>1.0370802919708029</v>
      </c>
      <c r="J34" s="220">
        <f t="shared" si="6"/>
        <v>36703.310479883206</v>
      </c>
      <c r="K34" s="221">
        <f t="shared" si="7"/>
        <v>0.31433628318584067</v>
      </c>
      <c r="L34" s="338">
        <f t="shared" si="8"/>
        <v>20112.493874973447</v>
      </c>
      <c r="M34" s="27">
        <f t="shared" si="9"/>
        <v>295857.40948066273</v>
      </c>
    </row>
    <row r="35" spans="1:13" x14ac:dyDescent="0.25">
      <c r="A35" s="41" t="s">
        <v>25</v>
      </c>
      <c r="B35" s="219">
        <v>2753.54</v>
      </c>
      <c r="C35" s="39">
        <f>SUM('K '!L36,'1-3 '!J36,'4-6'!J36,'7-8 '!J36,'9-12 '!J36,'Special Ed (Simplified)'!I36,'Special Ed (Goal)'!T37)</f>
        <v>191.52168271607982</v>
      </c>
      <c r="D35" s="64">
        <f t="shared" si="0"/>
        <v>7.8672571428571425</v>
      </c>
      <c r="E35" s="220">
        <f t="shared" si="1"/>
        <v>503378.60935069708</v>
      </c>
      <c r="F35" s="338">
        <f t="shared" si="2"/>
        <v>165955.86288053141</v>
      </c>
      <c r="G35" s="221">
        <f t="shared" si="3"/>
        <v>4.0197664233576642</v>
      </c>
      <c r="H35" s="220">
        <f t="shared" si="4"/>
        <v>257200.74930327589</v>
      </c>
      <c r="I35" s="221">
        <f t="shared" si="5"/>
        <v>4.0197664233576642</v>
      </c>
      <c r="J35" s="220">
        <f t="shared" si="6"/>
        <v>142263.56072463066</v>
      </c>
      <c r="K35" s="221">
        <f t="shared" si="7"/>
        <v>1.2183805309734512</v>
      </c>
      <c r="L35" s="338">
        <f t="shared" si="8"/>
        <v>77956.864279975212</v>
      </c>
      <c r="M35" s="27">
        <f t="shared" si="9"/>
        <v>1146755.6465391102</v>
      </c>
    </row>
    <row r="36" spans="1:13" x14ac:dyDescent="0.25">
      <c r="A36" s="41" t="s">
        <v>26</v>
      </c>
      <c r="B36" s="219">
        <v>1253.3399999999999</v>
      </c>
      <c r="C36" s="39">
        <f>SUM('K '!L37,'1-3 '!J37,'4-6'!J37,'7-8 '!J37,'9-12 '!J37,'Special Ed (Simplified)'!I37,'Special Ed (Goal)'!T38)</f>
        <v>79.075226998598168</v>
      </c>
      <c r="D36" s="64">
        <f t="shared" si="0"/>
        <v>3.5809714285714285</v>
      </c>
      <c r="E36" s="220">
        <f t="shared" si="1"/>
        <v>229124.8887772114</v>
      </c>
      <c r="F36" s="338">
        <f t="shared" si="2"/>
        <v>75538.80502287428</v>
      </c>
      <c r="G36" s="221">
        <f t="shared" si="3"/>
        <v>1.8296934306569341</v>
      </c>
      <c r="H36" s="220">
        <f t="shared" si="4"/>
        <v>117071.11105404962</v>
      </c>
      <c r="I36" s="221">
        <f t="shared" si="5"/>
        <v>1.8296934306569341</v>
      </c>
      <c r="J36" s="220">
        <f t="shared" si="6"/>
        <v>64754.683497827726</v>
      </c>
      <c r="K36" s="221">
        <f t="shared" si="7"/>
        <v>0.55457522123893799</v>
      </c>
      <c r="L36" s="338">
        <f t="shared" si="8"/>
        <v>35483.942952223006</v>
      </c>
      <c r="M36" s="27">
        <f t="shared" si="9"/>
        <v>521973.431304186</v>
      </c>
    </row>
    <row r="37" spans="1:13" x14ac:dyDescent="0.25">
      <c r="A37" s="41" t="s">
        <v>27</v>
      </c>
      <c r="B37" s="219">
        <v>5263.6</v>
      </c>
      <c r="C37" s="39">
        <f>SUM('K '!L38,'1-3 '!J38,'4-6'!J38,'7-8 '!J38,'9-12 '!J38,'Special Ed (Simplified)'!I38,'Special Ed (Goal)'!T39)</f>
        <v>356.3103139110159</v>
      </c>
      <c r="D37" s="64">
        <f t="shared" si="0"/>
        <v>15.038857142857143</v>
      </c>
      <c r="E37" s="220">
        <f t="shared" si="1"/>
        <v>962246.28956845705</v>
      </c>
      <c r="F37" s="338">
        <f t="shared" si="2"/>
        <v>317237.18553497142</v>
      </c>
      <c r="G37" s="221">
        <f t="shared" si="3"/>
        <v>7.6840875912408766</v>
      </c>
      <c r="H37" s="220">
        <f t="shared" si="4"/>
        <v>491658.68810067157</v>
      </c>
      <c r="I37" s="221">
        <f t="shared" si="5"/>
        <v>7.6840875912408766</v>
      </c>
      <c r="J37" s="220">
        <f t="shared" si="6"/>
        <v>271947.55777296354</v>
      </c>
      <c r="K37" s="221">
        <f t="shared" si="7"/>
        <v>2.3290265486725668</v>
      </c>
      <c r="L37" s="338">
        <f t="shared" si="8"/>
        <v>149020.44307476107</v>
      </c>
      <c r="M37" s="27">
        <f t="shared" si="9"/>
        <v>2192110.1640518247</v>
      </c>
    </row>
    <row r="38" spans="1:13" x14ac:dyDescent="0.25">
      <c r="A38" s="41" t="s">
        <v>28</v>
      </c>
      <c r="B38" s="219">
        <v>9606.7099999999991</v>
      </c>
      <c r="C38" s="39">
        <f>SUM('K '!L39,'1-3 '!J39,'4-6'!J39,'7-8 '!J39,'9-12 '!J39,'Special Ed (Simplified)'!I39,'Special Ed (Goal)'!T40)</f>
        <v>628.57094535922454</v>
      </c>
      <c r="D38" s="64">
        <f t="shared" si="0"/>
        <v>27.447742857142856</v>
      </c>
      <c r="E38" s="220">
        <f t="shared" si="1"/>
        <v>1756216.4777833028</v>
      </c>
      <c r="F38" s="338">
        <f t="shared" si="2"/>
        <v>578996.43640296848</v>
      </c>
      <c r="G38" s="221">
        <f t="shared" si="3"/>
        <v>14.02439416058394</v>
      </c>
      <c r="H38" s="220">
        <f t="shared" si="4"/>
        <v>897336.88645862171</v>
      </c>
      <c r="I38" s="221">
        <f t="shared" si="5"/>
        <v>14.02439416058394</v>
      </c>
      <c r="J38" s="220">
        <f t="shared" si="6"/>
        <v>496337.35898113571</v>
      </c>
      <c r="K38" s="221">
        <f t="shared" si="7"/>
        <v>4.2507566371681413</v>
      </c>
      <c r="L38" s="338">
        <f t="shared" si="8"/>
        <v>271980.42797529022</v>
      </c>
      <c r="M38" s="27">
        <f t="shared" si="9"/>
        <v>4000867.5876013194</v>
      </c>
    </row>
    <row r="39" spans="1:13" x14ac:dyDescent="0.25">
      <c r="A39" s="41" t="s">
        <v>29</v>
      </c>
      <c r="B39" s="219">
        <v>1528.03</v>
      </c>
      <c r="C39" s="39">
        <f>SUM('K '!L40,'1-3 '!J40,'4-6'!J40,'7-8 '!J40,'9-12 '!J40,'Special Ed (Simplified)'!I40,'Special Ed (Goal)'!T41)</f>
        <v>96.869535627030857</v>
      </c>
      <c r="D39" s="64">
        <f t="shared" si="0"/>
        <v>4.3658000000000001</v>
      </c>
      <c r="E39" s="220">
        <f t="shared" si="1"/>
        <v>279341.36291688</v>
      </c>
      <c r="F39" s="338">
        <f t="shared" si="2"/>
        <v>92094.372029220001</v>
      </c>
      <c r="G39" s="221">
        <f t="shared" si="3"/>
        <v>2.2307007299270074</v>
      </c>
      <c r="H39" s="220">
        <f t="shared" si="4"/>
        <v>142729.16353417226</v>
      </c>
      <c r="I39" s="221">
        <f t="shared" si="5"/>
        <v>2.2307007299270074</v>
      </c>
      <c r="J39" s="220">
        <f t="shared" si="6"/>
        <v>78946.733548108023</v>
      </c>
      <c r="K39" s="221">
        <f t="shared" si="7"/>
        <v>0.67611946902654863</v>
      </c>
      <c r="L39" s="338">
        <f t="shared" si="8"/>
        <v>43260.830540224772</v>
      </c>
      <c r="M39" s="27">
        <f t="shared" si="9"/>
        <v>636372.46256860509</v>
      </c>
    </row>
    <row r="40" spans="1:13" x14ac:dyDescent="0.25">
      <c r="A40" s="41" t="s">
        <v>30</v>
      </c>
      <c r="B40" s="219">
        <v>3982.19</v>
      </c>
      <c r="C40" s="39">
        <f>SUM('K '!L41,'1-3 '!J41,'4-6'!J41,'7-8 '!J41,'9-12 '!J41,'Special Ed (Simplified)'!I41,'Special Ed (Goal)'!T42)</f>
        <v>254.62900691202441</v>
      </c>
      <c r="D40" s="64">
        <f t="shared" si="0"/>
        <v>11.377685714285715</v>
      </c>
      <c r="E40" s="220">
        <f t="shared" si="1"/>
        <v>727989.88370252575</v>
      </c>
      <c r="F40" s="338">
        <f t="shared" si="2"/>
        <v>240006.60153991714</v>
      </c>
      <c r="G40" s="221">
        <f t="shared" si="3"/>
        <v>5.8134160583941608</v>
      </c>
      <c r="H40" s="220">
        <f t="shared" si="4"/>
        <v>371965.63400858978</v>
      </c>
      <c r="I40" s="221">
        <f t="shared" si="5"/>
        <v>5.8134160583941608</v>
      </c>
      <c r="J40" s="220">
        <f t="shared" si="6"/>
        <v>205742.61818677664</v>
      </c>
      <c r="K40" s="221">
        <f t="shared" si="7"/>
        <v>1.7620309734513275</v>
      </c>
      <c r="L40" s="338">
        <f t="shared" si="8"/>
        <v>112741.79614862124</v>
      </c>
      <c r="M40" s="27">
        <f t="shared" si="9"/>
        <v>1658446.5335864304</v>
      </c>
    </row>
    <row r="41" spans="1:13" x14ac:dyDescent="0.25">
      <c r="A41" s="41" t="s">
        <v>31</v>
      </c>
      <c r="B41" s="219">
        <v>25440.37</v>
      </c>
      <c r="C41" s="39">
        <f>SUM('K '!L42,'1-3 '!J42,'4-6'!J42,'7-8 '!J42,'9-12 '!J42,'Special Ed (Simplified)'!I42,'Special Ed (Goal)'!T43)</f>
        <v>1527.730696952847</v>
      </c>
      <c r="D41" s="64">
        <f t="shared" si="0"/>
        <v>72.686771428571419</v>
      </c>
      <c r="E41" s="220">
        <f t="shared" si="1"/>
        <v>4650790.6447580904</v>
      </c>
      <c r="F41" s="338">
        <f t="shared" si="2"/>
        <v>1533291.165318094</v>
      </c>
      <c r="G41" s="221">
        <f t="shared" si="3"/>
        <v>37.139226277372259</v>
      </c>
      <c r="H41" s="220">
        <f t="shared" si="4"/>
        <v>2376316.3878326011</v>
      </c>
      <c r="I41" s="221">
        <f t="shared" si="5"/>
        <v>37.139226277372259</v>
      </c>
      <c r="J41" s="220">
        <f t="shared" si="6"/>
        <v>1314394.4240330888</v>
      </c>
      <c r="K41" s="221">
        <f t="shared" si="7"/>
        <v>11.256800884955751</v>
      </c>
      <c r="L41" s="338">
        <f t="shared" si="8"/>
        <v>720255.1883474919</v>
      </c>
      <c r="M41" s="27">
        <f t="shared" si="9"/>
        <v>10595047.810289366</v>
      </c>
    </row>
    <row r="42" spans="1:13" x14ac:dyDescent="0.25">
      <c r="A42" s="41" t="s">
        <v>32</v>
      </c>
      <c r="B42" s="219">
        <v>2145.29</v>
      </c>
      <c r="C42" s="39">
        <f>SUM('K '!L43,'1-3 '!J43,'4-6'!J43,'7-8 '!J43,'9-12 '!J43,'Special Ed (Simplified)'!I43,'Special Ed (Goal)'!T44)</f>
        <v>146.11211686524993</v>
      </c>
      <c r="D42" s="64">
        <f t="shared" si="0"/>
        <v>6.1293999999999995</v>
      </c>
      <c r="E42" s="220">
        <f t="shared" si="1"/>
        <v>392183.55166583997</v>
      </c>
      <c r="F42" s="338">
        <f t="shared" si="2"/>
        <v>129296.63381645999</v>
      </c>
      <c r="G42" s="221">
        <f t="shared" si="3"/>
        <v>3.1318102189781021</v>
      </c>
      <c r="H42" s="220">
        <f t="shared" si="4"/>
        <v>200385.75632561167</v>
      </c>
      <c r="I42" s="221">
        <f t="shared" si="5"/>
        <v>3.1318102189781021</v>
      </c>
      <c r="J42" s="220">
        <f t="shared" si="6"/>
        <v>110837.90109711239</v>
      </c>
      <c r="K42" s="221">
        <f t="shared" si="7"/>
        <v>0.94924336283185839</v>
      </c>
      <c r="L42" s="338">
        <f t="shared" si="8"/>
        <v>60736.39074470973</v>
      </c>
      <c r="M42" s="27">
        <f t="shared" si="9"/>
        <v>893440.23364973371</v>
      </c>
    </row>
    <row r="43" spans="1:13" x14ac:dyDescent="0.25">
      <c r="A43" s="41" t="s">
        <v>33</v>
      </c>
      <c r="B43" s="219">
        <v>3224.83</v>
      </c>
      <c r="C43" s="39">
        <f>SUM('K '!L44,'1-3 '!J44,'4-6'!J44,'7-8 '!J44,'9-12 '!J44,'Special Ed (Simplified)'!I44,'Special Ed (Goal)'!T45)</f>
        <v>201.0773132284817</v>
      </c>
      <c r="D43" s="64">
        <f t="shared" si="0"/>
        <v>9.2137999999999991</v>
      </c>
      <c r="E43" s="220">
        <f t="shared" si="1"/>
        <v>589535.81236967992</v>
      </c>
      <c r="F43" s="338">
        <f t="shared" si="2"/>
        <v>194360.51239241997</v>
      </c>
      <c r="G43" s="221">
        <f t="shared" si="3"/>
        <v>4.7077810218978104</v>
      </c>
      <c r="H43" s="220">
        <f t="shared" si="4"/>
        <v>301222.67785312119</v>
      </c>
      <c r="I43" s="221">
        <f t="shared" si="5"/>
        <v>4.7077810218978104</v>
      </c>
      <c r="J43" s="220">
        <f t="shared" si="6"/>
        <v>166613.08661999123</v>
      </c>
      <c r="K43" s="221">
        <f t="shared" si="7"/>
        <v>1.4269159292035398</v>
      </c>
      <c r="L43" s="338">
        <f t="shared" si="8"/>
        <v>91299.793951056636</v>
      </c>
      <c r="M43" s="27">
        <f t="shared" si="9"/>
        <v>1343031.8831862691</v>
      </c>
    </row>
    <row r="44" spans="1:13" x14ac:dyDescent="0.25">
      <c r="A44" s="41" t="s">
        <v>34</v>
      </c>
      <c r="B44" s="219">
        <v>2373.3200000000002</v>
      </c>
      <c r="C44" s="39">
        <f>SUM('K '!L45,'1-3 '!J45,'4-6'!J45,'7-8 '!J45,'9-12 '!J45,'Special Ed (Simplified)'!I45,'Special Ed (Goal)'!T46)</f>
        <v>161.6371638829703</v>
      </c>
      <c r="D44" s="64">
        <f t="shared" si="0"/>
        <v>6.7809142857142861</v>
      </c>
      <c r="E44" s="220">
        <f t="shared" si="1"/>
        <v>433870.04406843428</v>
      </c>
      <c r="F44" s="338">
        <f t="shared" si="2"/>
        <v>143040.00250282287</v>
      </c>
      <c r="G44" s="221">
        <f t="shared" si="3"/>
        <v>3.4647007299270074</v>
      </c>
      <c r="H44" s="220">
        <f t="shared" si="4"/>
        <v>221685.42397657226</v>
      </c>
      <c r="I44" s="221">
        <f t="shared" si="5"/>
        <v>3.4647007299270074</v>
      </c>
      <c r="J44" s="220">
        <f t="shared" si="6"/>
        <v>122619.22976930803</v>
      </c>
      <c r="K44" s="221">
        <f t="shared" si="7"/>
        <v>1.0501415929203541</v>
      </c>
      <c r="L44" s="338">
        <f t="shared" si="8"/>
        <v>67192.263461925671</v>
      </c>
      <c r="M44" s="27">
        <f t="shared" si="9"/>
        <v>988406.96377906308</v>
      </c>
    </row>
    <row r="45" spans="1:13" x14ac:dyDescent="0.25">
      <c r="A45" s="41" t="s">
        <v>35</v>
      </c>
      <c r="B45" s="219">
        <v>15667.43</v>
      </c>
      <c r="C45" s="39">
        <f>SUM('K '!L46,'1-3 '!J46,'4-6'!J46,'7-8 '!J46,'9-12 '!J46,'Special Ed (Simplified)'!I46,'Special Ed (Goal)'!T47)</f>
        <v>1012.3163260333185</v>
      </c>
      <c r="D45" s="64">
        <f t="shared" si="0"/>
        <v>44.764085714285713</v>
      </c>
      <c r="E45" s="220">
        <f t="shared" si="1"/>
        <v>2864185.4214935657</v>
      </c>
      <c r="F45" s="338">
        <f t="shared" si="2"/>
        <v>944276.04638767708</v>
      </c>
      <c r="G45" s="221">
        <f t="shared" si="3"/>
        <v>22.872160583941607</v>
      </c>
      <c r="H45" s="220">
        <f t="shared" si="4"/>
        <v>1463452.4051426977</v>
      </c>
      <c r="I45" s="221">
        <f t="shared" si="5"/>
        <v>22.872160583941607</v>
      </c>
      <c r="J45" s="220">
        <f t="shared" si="6"/>
        <v>809468.67639616644</v>
      </c>
      <c r="K45" s="221">
        <f t="shared" si="7"/>
        <v>6.9324911504424778</v>
      </c>
      <c r="L45" s="338">
        <f t="shared" si="8"/>
        <v>443568.53872687963</v>
      </c>
      <c r="M45" s="27">
        <f t="shared" si="9"/>
        <v>6524951.0881469855</v>
      </c>
    </row>
    <row r="46" spans="1:13" x14ac:dyDescent="0.25">
      <c r="A46" s="41" t="s">
        <v>36</v>
      </c>
      <c r="B46" s="219">
        <v>1091.3900000000001</v>
      </c>
      <c r="C46" s="39">
        <f>SUM('K '!L47,'1-3 '!J47,'4-6'!J47,'7-8 '!J47,'9-12 '!J47,'Special Ed (Simplified)'!I47,'Special Ed (Goal)'!T48)</f>
        <v>72.559771072292165</v>
      </c>
      <c r="D46" s="64">
        <f t="shared" si="0"/>
        <v>3.1182571428571433</v>
      </c>
      <c r="E46" s="220">
        <f t="shared" si="1"/>
        <v>199518.57625429716</v>
      </c>
      <c r="F46" s="338">
        <f t="shared" si="2"/>
        <v>65778.078106431436</v>
      </c>
      <c r="G46" s="221">
        <f t="shared" si="3"/>
        <v>1.593270072992701</v>
      </c>
      <c r="H46" s="220">
        <f t="shared" si="4"/>
        <v>101943.79808613723</v>
      </c>
      <c r="I46" s="221">
        <f t="shared" si="5"/>
        <v>1.593270072992701</v>
      </c>
      <c r="J46" s="220">
        <f t="shared" si="6"/>
        <v>56387.424021170809</v>
      </c>
      <c r="K46" s="221">
        <f t="shared" si="7"/>
        <v>0.48291592920353987</v>
      </c>
      <c r="L46" s="338">
        <f t="shared" si="8"/>
        <v>30898.894552656639</v>
      </c>
      <c r="M46" s="27">
        <f t="shared" ref="M46:M77" si="10">E46+H46+J46+L46+F46</f>
        <v>454526.77102069324</v>
      </c>
    </row>
    <row r="47" spans="1:13" x14ac:dyDescent="0.25">
      <c r="A47" s="41" t="s">
        <v>37</v>
      </c>
      <c r="B47" s="219">
        <v>3269.06</v>
      </c>
      <c r="C47" s="39">
        <f>SUM('K '!L48,'1-3 '!J48,'4-6'!J48,'7-8 '!J48,'9-12 '!J48,'Special Ed (Simplified)'!I48,'Special Ed (Goal)'!T49)</f>
        <v>229.38585763442126</v>
      </c>
      <c r="D47" s="64">
        <f t="shared" si="0"/>
        <v>9.3401714285714288</v>
      </c>
      <c r="E47" s="220">
        <f t="shared" si="1"/>
        <v>597621.56231033138</v>
      </c>
      <c r="F47" s="338">
        <f t="shared" si="2"/>
        <v>197026.25460615428</v>
      </c>
      <c r="G47" s="221">
        <f t="shared" si="3"/>
        <v>4.7723503649635033</v>
      </c>
      <c r="H47" s="220">
        <f t="shared" si="4"/>
        <v>305354.08293228608</v>
      </c>
      <c r="I47" s="221">
        <f t="shared" si="5"/>
        <v>4.7723503649635033</v>
      </c>
      <c r="J47" s="220">
        <f t="shared" si="6"/>
        <v>168898.26035665401</v>
      </c>
      <c r="K47" s="221">
        <f t="shared" si="7"/>
        <v>1.4464867256637168</v>
      </c>
      <c r="L47" s="338">
        <f t="shared" si="8"/>
        <v>92552.011862219471</v>
      </c>
      <c r="M47" s="27">
        <f t="shared" si="10"/>
        <v>1361452.1720676452</v>
      </c>
    </row>
    <row r="48" spans="1:13" x14ac:dyDescent="0.25">
      <c r="A48" s="41" t="s">
        <v>38</v>
      </c>
      <c r="B48" s="219">
        <v>656.05</v>
      </c>
      <c r="C48" s="39">
        <f>SUM('K '!L49,'1-3 '!J49,'4-6'!J49,'7-8 '!J49,'9-12 '!J49,'Special Ed (Simplified)'!I49,'Special Ed (Goal)'!T50)</f>
        <v>47.00309232669801</v>
      </c>
      <c r="D48" s="64">
        <f t="shared" si="0"/>
        <v>1.8744285714285713</v>
      </c>
      <c r="E48" s="220">
        <f t="shared" si="1"/>
        <v>119933.44446222855</v>
      </c>
      <c r="F48" s="338">
        <f t="shared" si="2"/>
        <v>39540.13518698571</v>
      </c>
      <c r="G48" s="221">
        <f t="shared" si="3"/>
        <v>0.95773722627737223</v>
      </c>
      <c r="H48" s="220">
        <f t="shared" si="4"/>
        <v>61279.862133985393</v>
      </c>
      <c r="I48" s="221">
        <f t="shared" si="5"/>
        <v>0.95773722627737223</v>
      </c>
      <c r="J48" s="220">
        <f t="shared" si="6"/>
        <v>33895.27989910949</v>
      </c>
      <c r="K48" s="221">
        <f t="shared" si="7"/>
        <v>0.29028761061946901</v>
      </c>
      <c r="L48" s="338">
        <f t="shared" si="8"/>
        <v>18573.7635229115</v>
      </c>
      <c r="M48" s="27">
        <f t="shared" si="10"/>
        <v>273222.48520522064</v>
      </c>
    </row>
    <row r="49" spans="1:13" x14ac:dyDescent="0.25">
      <c r="A49" s="41" t="s">
        <v>39</v>
      </c>
      <c r="B49" s="219">
        <v>1181.8699999999999</v>
      </c>
      <c r="C49" s="39">
        <f>SUM('K '!L50,'1-3 '!J50,'4-6'!J50,'7-8 '!J50,'9-12 '!J50,'Special Ed (Simplified)'!I50,'Special Ed (Goal)'!T51)</f>
        <v>80.357223320349661</v>
      </c>
      <c r="D49" s="64">
        <f t="shared" si="0"/>
        <v>3.3767714285714283</v>
      </c>
      <c r="E49" s="220">
        <f t="shared" si="1"/>
        <v>216059.35524209141</v>
      </c>
      <c r="F49" s="338">
        <f t="shared" si="2"/>
        <v>71231.307939094273</v>
      </c>
      <c r="G49" s="221">
        <f t="shared" si="3"/>
        <v>1.7253576642335764</v>
      </c>
      <c r="H49" s="220">
        <f t="shared" si="4"/>
        <v>110395.29099960874</v>
      </c>
      <c r="I49" s="221">
        <f t="shared" si="5"/>
        <v>1.7253576642335764</v>
      </c>
      <c r="J49" s="220">
        <f t="shared" si="6"/>
        <v>61062.136200534296</v>
      </c>
      <c r="K49" s="221">
        <f t="shared" si="7"/>
        <v>0.52295132743362827</v>
      </c>
      <c r="L49" s="338">
        <f t="shared" si="8"/>
        <v>33460.519617138045</v>
      </c>
      <c r="M49" s="27">
        <f t="shared" si="10"/>
        <v>492208.60999846674</v>
      </c>
    </row>
    <row r="50" spans="1:13" x14ac:dyDescent="0.25">
      <c r="A50" s="41" t="s">
        <v>40</v>
      </c>
      <c r="B50" s="219">
        <v>8929.7900000000009</v>
      </c>
      <c r="C50" s="39">
        <f>SUM('K '!L51,'1-3 '!J51,'4-6'!J51,'7-8 '!J51,'9-12 '!J51,'Special Ed (Simplified)'!I51,'Special Ed (Goal)'!T52)</f>
        <v>578.11903723727858</v>
      </c>
      <c r="D50" s="64">
        <f t="shared" si="0"/>
        <v>25.513685714285717</v>
      </c>
      <c r="E50" s="220">
        <f t="shared" si="1"/>
        <v>1632467.7585921257</v>
      </c>
      <c r="F50" s="338">
        <f t="shared" si="2"/>
        <v>538198.46626231715</v>
      </c>
      <c r="G50" s="221">
        <f t="shared" si="3"/>
        <v>13.0361897810219</v>
      </c>
      <c r="H50" s="220">
        <f t="shared" si="4"/>
        <v>834107.61387918843</v>
      </c>
      <c r="I50" s="221">
        <f t="shared" si="5"/>
        <v>13.0361897810219</v>
      </c>
      <c r="J50" s="220">
        <f t="shared" si="6"/>
        <v>461363.81600528763</v>
      </c>
      <c r="K50" s="221">
        <f t="shared" si="7"/>
        <v>3.9512345132743367</v>
      </c>
      <c r="L50" s="338">
        <f t="shared" si="8"/>
        <v>252815.8033217894</v>
      </c>
      <c r="M50" s="27">
        <f t="shared" si="10"/>
        <v>3718953.4580607084</v>
      </c>
    </row>
    <row r="51" spans="1:13" x14ac:dyDescent="0.25">
      <c r="A51" s="41" t="s">
        <v>41</v>
      </c>
      <c r="B51" s="219">
        <v>74161.66</v>
      </c>
      <c r="C51" s="39">
        <f>SUM('K '!L52,'1-3 '!J52,'4-6'!J52,'7-8 '!J52,'9-12 '!J52,'Special Ed (Simplified)'!I52,'Special Ed (Goal)'!T53)</f>
        <v>4623.1873666764677</v>
      </c>
      <c r="D51" s="64">
        <f t="shared" si="0"/>
        <v>211.89045714285714</v>
      </c>
      <c r="E51" s="220">
        <f t="shared" si="1"/>
        <v>13557599.772634216</v>
      </c>
      <c r="F51" s="338">
        <f t="shared" si="2"/>
        <v>4469723.4389014114</v>
      </c>
      <c r="G51" s="221">
        <f t="shared" si="3"/>
        <v>108.26519708029197</v>
      </c>
      <c r="H51" s="220">
        <f t="shared" si="4"/>
        <v>6927240.7597401105</v>
      </c>
      <c r="I51" s="221">
        <f t="shared" si="5"/>
        <v>108.26519708029197</v>
      </c>
      <c r="J51" s="220">
        <f t="shared" si="6"/>
        <v>3831613.7847459675</v>
      </c>
      <c r="K51" s="221">
        <f t="shared" si="7"/>
        <v>32.814893805309737</v>
      </c>
      <c r="L51" s="338">
        <f t="shared" si="8"/>
        <v>2099628.2833725559</v>
      </c>
      <c r="M51" s="27">
        <f t="shared" si="10"/>
        <v>30885806.039394259</v>
      </c>
    </row>
    <row r="52" spans="1:13" x14ac:dyDescent="0.25">
      <c r="A52" s="41" t="s">
        <v>42</v>
      </c>
      <c r="B52" s="219">
        <v>8515.0300000000007</v>
      </c>
      <c r="C52" s="39">
        <f>SUM('K '!L53,'1-3 '!J53,'4-6'!J53,'7-8 '!J53,'9-12 '!J53,'Special Ed (Simplified)'!I53,'Special Ed (Goal)'!T54)</f>
        <v>538.57928580357475</v>
      </c>
      <c r="D52" s="64">
        <f t="shared" si="0"/>
        <v>24.328657142857146</v>
      </c>
      <c r="E52" s="220">
        <f t="shared" si="1"/>
        <v>1556644.8862117373</v>
      </c>
      <c r="F52" s="338">
        <f t="shared" si="2"/>
        <v>513200.87999579147</v>
      </c>
      <c r="G52" s="221">
        <f t="shared" si="3"/>
        <v>12.430700729927008</v>
      </c>
      <c r="H52" s="220">
        <f t="shared" si="4"/>
        <v>795366.00025417225</v>
      </c>
      <c r="I52" s="221">
        <f t="shared" si="5"/>
        <v>12.430700729927008</v>
      </c>
      <c r="J52" s="220">
        <f t="shared" si="6"/>
        <v>439934.95190810802</v>
      </c>
      <c r="K52" s="221">
        <f t="shared" si="7"/>
        <v>3.7677123893805313</v>
      </c>
      <c r="L52" s="338">
        <f t="shared" si="8"/>
        <v>241073.32308588849</v>
      </c>
      <c r="M52" s="27">
        <f t="shared" si="10"/>
        <v>3546220.0414556973</v>
      </c>
    </row>
    <row r="53" spans="1:13" x14ac:dyDescent="0.25">
      <c r="A53" s="41" t="s">
        <v>43</v>
      </c>
      <c r="B53" s="219">
        <v>898.58</v>
      </c>
      <c r="C53" s="39">
        <f>SUM('K '!L54,'1-3 '!J54,'4-6'!J54,'7-8 '!J54,'9-12 '!J54,'Special Ed (Simplified)'!I54,'Special Ed (Goal)'!T55)</f>
        <v>59.831890812739687</v>
      </c>
      <c r="D53" s="64">
        <f t="shared" si="0"/>
        <v>2.5673714285714286</v>
      </c>
      <c r="E53" s="220">
        <f t="shared" si="1"/>
        <v>164270.70272825143</v>
      </c>
      <c r="F53" s="338">
        <f t="shared" si="2"/>
        <v>54157.418910634282</v>
      </c>
      <c r="G53" s="221">
        <f t="shared" si="3"/>
        <v>1.3117956204379562</v>
      </c>
      <c r="H53" s="220">
        <f t="shared" si="4"/>
        <v>83933.935700566421</v>
      </c>
      <c r="I53" s="221">
        <f t="shared" si="5"/>
        <v>1.3117956204379562</v>
      </c>
      <c r="J53" s="220">
        <f t="shared" si="6"/>
        <v>46425.761164151823</v>
      </c>
      <c r="K53" s="221">
        <f t="shared" si="7"/>
        <v>0.39760176991150442</v>
      </c>
      <c r="L53" s="338">
        <f t="shared" si="8"/>
        <v>25440.153077384068</v>
      </c>
      <c r="M53" s="27">
        <f t="shared" si="10"/>
        <v>374227.97158098803</v>
      </c>
    </row>
    <row r="54" spans="1:13" x14ac:dyDescent="0.25">
      <c r="A54" s="41" t="s">
        <v>44</v>
      </c>
      <c r="B54" s="219">
        <v>1516.32</v>
      </c>
      <c r="C54" s="39">
        <f>SUM('K '!L55,'1-3 '!J55,'4-6'!J55,'7-8 '!J55,'9-12 '!J55,'Special Ed (Simplified)'!I55,'Special Ed (Goal)'!T56)</f>
        <v>94.092821757973198</v>
      </c>
      <c r="D54" s="64">
        <f t="shared" si="0"/>
        <v>4.3323428571428568</v>
      </c>
      <c r="E54" s="220">
        <f t="shared" si="1"/>
        <v>277200.6409678628</v>
      </c>
      <c r="F54" s="338">
        <f t="shared" si="2"/>
        <v>91388.610299108565</v>
      </c>
      <c r="G54" s="221">
        <f t="shared" si="3"/>
        <v>2.2136058394160583</v>
      </c>
      <c r="H54" s="220">
        <f t="shared" si="4"/>
        <v>141635.36399817807</v>
      </c>
      <c r="I54" s="221">
        <f t="shared" si="5"/>
        <v>2.2136058394160583</v>
      </c>
      <c r="J54" s="220">
        <f t="shared" si="6"/>
        <v>78341.728247264226</v>
      </c>
      <c r="K54" s="221">
        <f t="shared" si="7"/>
        <v>0.67093805309734511</v>
      </c>
      <c r="L54" s="338">
        <f t="shared" si="8"/>
        <v>42929.302804757521</v>
      </c>
      <c r="M54" s="27">
        <f t="shared" si="10"/>
        <v>631495.64631717117</v>
      </c>
    </row>
    <row r="55" spans="1:13" x14ac:dyDescent="0.25">
      <c r="A55" s="41" t="s">
        <v>45</v>
      </c>
      <c r="B55" s="219">
        <v>2087.65</v>
      </c>
      <c r="C55" s="39">
        <f>SUM('K '!L56,'1-3 '!J56,'4-6'!J56,'7-8 '!J56,'9-12 '!J56,'Special Ed (Simplified)'!I56,'Special Ed (Goal)'!T57)</f>
        <v>132.80214293607324</v>
      </c>
      <c r="D55" s="64">
        <f t="shared" si="0"/>
        <v>5.9647142857142859</v>
      </c>
      <c r="E55" s="220">
        <f t="shared" si="1"/>
        <v>381646.30033011426</v>
      </c>
      <c r="F55" s="338">
        <f t="shared" si="2"/>
        <v>125822.67086824286</v>
      </c>
      <c r="G55" s="221">
        <f t="shared" si="3"/>
        <v>3.0476642335766426</v>
      </c>
      <c r="H55" s="220">
        <f t="shared" si="4"/>
        <v>195001.75929275912</v>
      </c>
      <c r="I55" s="221">
        <f t="shared" si="5"/>
        <v>3.0476642335766426</v>
      </c>
      <c r="J55" s="220">
        <f t="shared" si="6"/>
        <v>107859.89037630658</v>
      </c>
      <c r="K55" s="221">
        <f t="shared" si="7"/>
        <v>0.92373893805309737</v>
      </c>
      <c r="L55" s="338">
        <f t="shared" si="8"/>
        <v>59104.515537849555</v>
      </c>
      <c r="M55" s="27">
        <f t="shared" si="10"/>
        <v>869435.13640527229</v>
      </c>
    </row>
    <row r="56" spans="1:13" x14ac:dyDescent="0.25">
      <c r="A56" s="41" t="s">
        <v>46</v>
      </c>
      <c r="B56" s="219">
        <v>662.1</v>
      </c>
      <c r="C56" s="39">
        <f>SUM('K '!L57,'1-3 '!J57,'4-6'!J57,'7-8 '!J57,'9-12 '!J57,'Special Ed (Simplified)'!I57,'Special Ed (Goal)'!T58)</f>
        <v>46.417643808441795</v>
      </c>
      <c r="D56" s="64">
        <f t="shared" si="0"/>
        <v>1.8917142857142857</v>
      </c>
      <c r="E56" s="220">
        <f t="shared" si="1"/>
        <v>121039.45366731427</v>
      </c>
      <c r="F56" s="338">
        <f t="shared" si="2"/>
        <v>39904.768702542853</v>
      </c>
      <c r="G56" s="221">
        <f t="shared" si="3"/>
        <v>0.96656934306569342</v>
      </c>
      <c r="H56" s="220">
        <f t="shared" si="4"/>
        <v>61844.976326364958</v>
      </c>
      <c r="I56" s="221">
        <f t="shared" si="5"/>
        <v>0.96656934306569342</v>
      </c>
      <c r="J56" s="220">
        <f t="shared" si="6"/>
        <v>34207.857360262773</v>
      </c>
      <c r="K56" s="221">
        <f t="shared" si="7"/>
        <v>0.29296460176991151</v>
      </c>
      <c r="L56" s="338">
        <f t="shared" si="8"/>
        <v>18745.048134318582</v>
      </c>
      <c r="M56" s="27">
        <f t="shared" si="10"/>
        <v>275742.10419080342</v>
      </c>
    </row>
    <row r="57" spans="1:13" x14ac:dyDescent="0.25">
      <c r="A57" s="41" t="s">
        <v>47</v>
      </c>
      <c r="B57" s="219">
        <v>43529.94</v>
      </c>
      <c r="C57" s="39">
        <f>SUM('K '!L58,'1-3 '!J58,'4-6'!J58,'7-8 '!J58,'9-12 '!J58,'Special Ed (Simplified)'!I58,'Special Ed (Goal)'!T59)</f>
        <v>2762.3715365825342</v>
      </c>
      <c r="D57" s="64">
        <f t="shared" si="0"/>
        <v>124.37125714285715</v>
      </c>
      <c r="E57" s="220">
        <f t="shared" si="1"/>
        <v>7957770.964765097</v>
      </c>
      <c r="F57" s="338">
        <f t="shared" si="2"/>
        <v>2623549.5957341315</v>
      </c>
      <c r="G57" s="221">
        <f t="shared" si="3"/>
        <v>63.54735766423358</v>
      </c>
      <c r="H57" s="220">
        <f t="shared" si="4"/>
        <v>4066014.3615588089</v>
      </c>
      <c r="I57" s="221">
        <f t="shared" si="5"/>
        <v>63.54735766423358</v>
      </c>
      <c r="J57" s="220">
        <f t="shared" si="6"/>
        <v>2249004.6494801342</v>
      </c>
      <c r="K57" s="221">
        <f t="shared" si="7"/>
        <v>19.261035398230089</v>
      </c>
      <c r="L57" s="338">
        <f t="shared" si="8"/>
        <v>1232398.1582600814</v>
      </c>
      <c r="M57" s="27">
        <f t="shared" si="10"/>
        <v>18128737.729798254</v>
      </c>
    </row>
    <row r="58" spans="1:13" x14ac:dyDescent="0.25">
      <c r="A58" s="41" t="s">
        <v>48</v>
      </c>
      <c r="B58" s="219">
        <v>2404.8000000000002</v>
      </c>
      <c r="C58" s="39">
        <f>SUM('K '!L59,'1-3 '!J59,'4-6'!J59,'7-8 '!J59,'9-12 '!J59,'Special Ed (Simplified)'!I59,'Special Ed (Goal)'!T60)</f>
        <v>157.47193263687396</v>
      </c>
      <c r="D58" s="64">
        <f t="shared" si="0"/>
        <v>6.870857142857143</v>
      </c>
      <c r="E58" s="220">
        <f t="shared" si="1"/>
        <v>439624.9481636571</v>
      </c>
      <c r="F58" s="338">
        <f t="shared" si="2"/>
        <v>144937.30218377142</v>
      </c>
      <c r="G58" s="221">
        <f t="shared" si="3"/>
        <v>3.5106569343065694</v>
      </c>
      <c r="H58" s="220">
        <f t="shared" si="4"/>
        <v>224625.88592303649</v>
      </c>
      <c r="I58" s="221">
        <f t="shared" si="5"/>
        <v>3.5106569343065694</v>
      </c>
      <c r="J58" s="220">
        <f t="shared" si="6"/>
        <v>124245.66588122628</v>
      </c>
      <c r="K58" s="221">
        <f t="shared" si="7"/>
        <v>1.064070796460177</v>
      </c>
      <c r="L58" s="338">
        <f t="shared" si="8"/>
        <v>68083.50967136283</v>
      </c>
      <c r="M58" s="27">
        <f t="shared" si="10"/>
        <v>1001517.3118230541</v>
      </c>
    </row>
    <row r="59" spans="1:13" x14ac:dyDescent="0.25">
      <c r="A59" s="41" t="s">
        <v>49</v>
      </c>
      <c r="B59" s="219">
        <v>10525.82</v>
      </c>
      <c r="C59" s="39">
        <f>SUM('K '!L60,'1-3 '!J60,'4-6'!J60,'7-8 '!J60,'9-12 '!J60,'Special Ed (Simplified)'!I60,'Special Ed (Goal)'!T61)</f>
        <v>658.74124712308719</v>
      </c>
      <c r="D59" s="64">
        <f t="shared" si="0"/>
        <v>30.073771428571426</v>
      </c>
      <c r="E59" s="220">
        <f t="shared" si="1"/>
        <v>1924240.2993512913</v>
      </c>
      <c r="F59" s="338">
        <f t="shared" si="2"/>
        <v>634391.19846639421</v>
      </c>
      <c r="G59" s="221">
        <f t="shared" si="3"/>
        <v>15.366160583941605</v>
      </c>
      <c r="H59" s="220">
        <f t="shared" si="4"/>
        <v>983188.47412109771</v>
      </c>
      <c r="I59" s="221">
        <f t="shared" si="5"/>
        <v>15.366160583941605</v>
      </c>
      <c r="J59" s="220">
        <f t="shared" si="6"/>
        <v>543823.81688536634</v>
      </c>
      <c r="K59" s="221">
        <f t="shared" si="7"/>
        <v>4.6574424778761063</v>
      </c>
      <c r="L59" s="338">
        <f t="shared" si="8"/>
        <v>298001.81627121771</v>
      </c>
      <c r="M59" s="27">
        <f t="shared" si="10"/>
        <v>4383645.6050953669</v>
      </c>
    </row>
    <row r="60" spans="1:13" x14ac:dyDescent="0.25">
      <c r="A60" s="41" t="s">
        <v>50</v>
      </c>
      <c r="B60" s="219">
        <v>13258.42</v>
      </c>
      <c r="C60" s="39">
        <f>SUM('K '!L61,'1-3 '!J61,'4-6'!J61,'7-8 '!J61,'9-12 '!J61,'Special Ed (Simplified)'!I61,'Special Ed (Goal)'!T62)</f>
        <v>823.22719537790726</v>
      </c>
      <c r="D60" s="64">
        <f t="shared" si="0"/>
        <v>37.8812</v>
      </c>
      <c r="E60" s="220">
        <f t="shared" si="1"/>
        <v>2423790.8371723196</v>
      </c>
      <c r="F60" s="338">
        <f t="shared" si="2"/>
        <v>799085.00749307999</v>
      </c>
      <c r="G60" s="221">
        <f t="shared" si="3"/>
        <v>19.355357664233576</v>
      </c>
      <c r="H60" s="220">
        <f t="shared" si="4"/>
        <v>1238433.2744676087</v>
      </c>
      <c r="I60" s="221">
        <f t="shared" si="5"/>
        <v>19.355357664233576</v>
      </c>
      <c r="J60" s="220">
        <f t="shared" si="6"/>
        <v>685005.49793453421</v>
      </c>
      <c r="K60" s="221">
        <f t="shared" si="7"/>
        <v>5.8665575221238937</v>
      </c>
      <c r="L60" s="338">
        <f t="shared" si="8"/>
        <v>375365.83761518227</v>
      </c>
      <c r="M60" s="27">
        <f t="shared" si="10"/>
        <v>5521680.4546827246</v>
      </c>
    </row>
    <row r="61" spans="1:13" x14ac:dyDescent="0.25">
      <c r="A61" s="41" t="s">
        <v>51</v>
      </c>
      <c r="B61" s="219">
        <v>5388.16</v>
      </c>
      <c r="C61" s="39">
        <f>SUM('K '!L62,'1-3 '!J62,'4-6'!J62,'7-8 '!J62,'9-12 '!J62,'Special Ed (Simplified)'!I62,'Special Ed (Goal)'!T63)</f>
        <v>354.41748622057878</v>
      </c>
      <c r="D61" s="64">
        <f t="shared" si="0"/>
        <v>15.394742857142857</v>
      </c>
      <c r="E61" s="220">
        <f t="shared" si="1"/>
        <v>985017.28239250276</v>
      </c>
      <c r="F61" s="338">
        <f t="shared" si="2"/>
        <v>324744.41705526854</v>
      </c>
      <c r="G61" s="221">
        <f t="shared" si="3"/>
        <v>7.8659270072992697</v>
      </c>
      <c r="H61" s="220">
        <f t="shared" si="4"/>
        <v>503293.50195237366</v>
      </c>
      <c r="I61" s="221">
        <f t="shared" si="5"/>
        <v>7.8659270072992697</v>
      </c>
      <c r="J61" s="220">
        <f t="shared" si="6"/>
        <v>278383.03687399707</v>
      </c>
      <c r="K61" s="221">
        <f t="shared" si="7"/>
        <v>2.3841415929203538</v>
      </c>
      <c r="L61" s="338">
        <f t="shared" si="8"/>
        <v>152546.92426432564</v>
      </c>
      <c r="M61" s="27">
        <f t="shared" si="10"/>
        <v>2243985.1625384679</v>
      </c>
    </row>
    <row r="62" spans="1:13" x14ac:dyDescent="0.25">
      <c r="A62" s="41" t="s">
        <v>52</v>
      </c>
      <c r="B62" s="219">
        <v>2979.52</v>
      </c>
      <c r="C62" s="39">
        <f>SUM('K '!L63,'1-3 '!J63,'4-6'!J63,'7-8 '!J63,'9-12 '!J63,'Special Ed (Simplified)'!I63,'Special Ed (Goal)'!T64)</f>
        <v>204.268289794861</v>
      </c>
      <c r="D62" s="64">
        <f t="shared" si="0"/>
        <v>8.5129142857142863</v>
      </c>
      <c r="E62" s="220">
        <f t="shared" si="1"/>
        <v>544690.33830363431</v>
      </c>
      <c r="F62" s="338">
        <f t="shared" si="2"/>
        <v>179575.67806162286</v>
      </c>
      <c r="G62" s="221">
        <f t="shared" si="3"/>
        <v>4.3496642335766422</v>
      </c>
      <c r="H62" s="220">
        <f t="shared" si="4"/>
        <v>278308.93197995907</v>
      </c>
      <c r="I62" s="221">
        <f t="shared" si="5"/>
        <v>4.3496642335766422</v>
      </c>
      <c r="J62" s="220">
        <f t="shared" si="6"/>
        <v>153938.97471990655</v>
      </c>
      <c r="K62" s="221">
        <f t="shared" si="7"/>
        <v>1.3183716814159292</v>
      </c>
      <c r="L62" s="338">
        <f t="shared" si="8"/>
        <v>84354.698409854856</v>
      </c>
      <c r="M62" s="27">
        <f t="shared" si="10"/>
        <v>1240868.6214749776</v>
      </c>
    </row>
    <row r="63" spans="1:13" x14ac:dyDescent="0.25">
      <c r="A63" s="41" t="s">
        <v>53</v>
      </c>
      <c r="B63" s="219">
        <v>1729.85</v>
      </c>
      <c r="C63" s="39">
        <f>SUM('K '!L64,'1-3 '!J64,'4-6'!J64,'7-8 '!J64,'9-12 '!J64,'Special Ed (Simplified)'!I64,'Special Ed (Goal)'!T65)</f>
        <v>116.09531896309257</v>
      </c>
      <c r="D63" s="64">
        <f t="shared" si="0"/>
        <v>4.9424285714285707</v>
      </c>
      <c r="E63" s="220">
        <f t="shared" si="1"/>
        <v>316236.36750702851</v>
      </c>
      <c r="F63" s="338">
        <f t="shared" si="2"/>
        <v>104258.06394818569</v>
      </c>
      <c r="G63" s="221">
        <f t="shared" si="3"/>
        <v>2.5253284671532845</v>
      </c>
      <c r="H63" s="220">
        <f t="shared" si="4"/>
        <v>161580.62573351822</v>
      </c>
      <c r="I63" s="221">
        <f t="shared" si="5"/>
        <v>2.5253284671532845</v>
      </c>
      <c r="J63" s="220">
        <f t="shared" si="6"/>
        <v>89373.904326613134</v>
      </c>
      <c r="K63" s="221">
        <f t="shared" si="7"/>
        <v>0.76542035398230079</v>
      </c>
      <c r="L63" s="338">
        <f t="shared" si="8"/>
        <v>48974.658684716807</v>
      </c>
      <c r="M63" s="27">
        <f t="shared" si="10"/>
        <v>720423.62020006229</v>
      </c>
    </row>
    <row r="64" spans="1:13" x14ac:dyDescent="0.25">
      <c r="A64" s="41" t="s">
        <v>54</v>
      </c>
      <c r="B64" s="219">
        <v>25998.85</v>
      </c>
      <c r="C64" s="39">
        <f>SUM('K '!L65,'1-3 '!J65,'4-6'!J65,'7-8 '!J65,'9-12 '!J65,'Special Ed (Simplified)'!I65,'Special Ed (Goal)'!T66)</f>
        <v>1555.4353164684669</v>
      </c>
      <c r="D64" s="64">
        <f t="shared" si="0"/>
        <v>74.282428571428568</v>
      </c>
      <c r="E64" s="220">
        <f t="shared" si="1"/>
        <v>4752887.1771310279</v>
      </c>
      <c r="F64" s="338">
        <f t="shared" si="2"/>
        <v>1566950.7563541855</v>
      </c>
      <c r="G64" s="221">
        <f t="shared" si="3"/>
        <v>37.95452554744525</v>
      </c>
      <c r="H64" s="220">
        <f t="shared" si="4"/>
        <v>2428482.4992640289</v>
      </c>
      <c r="I64" s="221">
        <f t="shared" si="5"/>
        <v>37.95452554744525</v>
      </c>
      <c r="J64" s="220">
        <f t="shared" si="6"/>
        <v>1343248.6819677807</v>
      </c>
      <c r="K64" s="221">
        <f t="shared" si="7"/>
        <v>11.50391592920354</v>
      </c>
      <c r="L64" s="338">
        <f t="shared" si="8"/>
        <v>736066.59822825657</v>
      </c>
      <c r="M64" s="27">
        <f t="shared" si="10"/>
        <v>10827635.712945279</v>
      </c>
    </row>
    <row r="65" spans="1:13" x14ac:dyDescent="0.25">
      <c r="A65" s="41" t="s">
        <v>55</v>
      </c>
      <c r="B65" s="219">
        <v>8632.56</v>
      </c>
      <c r="C65" s="39">
        <f>SUM('K '!L66,'1-3 '!J66,'4-6'!J66,'7-8 '!J66,'9-12 '!J66,'Special Ed (Simplified)'!I66,'Special Ed (Goal)'!T67)</f>
        <v>570.37431372194874</v>
      </c>
      <c r="D65" s="64">
        <f t="shared" si="0"/>
        <v>24.664457142857142</v>
      </c>
      <c r="E65" s="220">
        <f t="shared" si="1"/>
        <v>1578130.714620617</v>
      </c>
      <c r="F65" s="338">
        <f t="shared" si="2"/>
        <v>520284.41339801135</v>
      </c>
      <c r="G65" s="221">
        <f t="shared" si="3"/>
        <v>12.602277372262773</v>
      </c>
      <c r="H65" s="220">
        <f t="shared" si="4"/>
        <v>806344.16075505968</v>
      </c>
      <c r="I65" s="221">
        <f t="shared" si="5"/>
        <v>12.602277372262773</v>
      </c>
      <c r="J65" s="220">
        <f t="shared" si="6"/>
        <v>446007.22116585105</v>
      </c>
      <c r="K65" s="221">
        <f t="shared" si="7"/>
        <v>3.8197168141592917</v>
      </c>
      <c r="L65" s="338">
        <f t="shared" si="8"/>
        <v>244400.77438814862</v>
      </c>
      <c r="M65" s="27">
        <f t="shared" si="10"/>
        <v>3595167.2843276877</v>
      </c>
    </row>
    <row r="66" spans="1:13" x14ac:dyDescent="0.25">
      <c r="A66" s="41" t="s">
        <v>56</v>
      </c>
      <c r="B66" s="219">
        <v>1939.18</v>
      </c>
      <c r="C66" s="39">
        <f>SUM('K '!L67,'1-3 '!J67,'4-6'!J67,'7-8 '!J67,'9-12 '!J67,'Special Ed (Simplified)'!I67,'Special Ed (Goal)'!T68)</f>
        <v>128.21556587159526</v>
      </c>
      <c r="D66" s="64">
        <f t="shared" si="0"/>
        <v>5.5405142857142859</v>
      </c>
      <c r="E66" s="220">
        <f t="shared" si="1"/>
        <v>354504.28600299428</v>
      </c>
      <c r="F66" s="338">
        <f t="shared" si="2"/>
        <v>116874.38358646286</v>
      </c>
      <c r="G66" s="221">
        <f t="shared" si="3"/>
        <v>2.8309197080291972</v>
      </c>
      <c r="H66" s="220">
        <f t="shared" si="4"/>
        <v>181133.5767898511</v>
      </c>
      <c r="I66" s="221">
        <f t="shared" si="5"/>
        <v>2.8309197080291972</v>
      </c>
      <c r="J66" s="220">
        <f t="shared" si="6"/>
        <v>100189.08448251679</v>
      </c>
      <c r="K66" s="221">
        <f t="shared" si="7"/>
        <v>0.85804424778761068</v>
      </c>
      <c r="L66" s="338">
        <f t="shared" si="8"/>
        <v>54901.106239401772</v>
      </c>
      <c r="M66" s="27">
        <f t="shared" si="10"/>
        <v>807602.43710122665</v>
      </c>
    </row>
    <row r="67" spans="1:13" x14ac:dyDescent="0.25">
      <c r="A67" s="41" t="s">
        <v>57</v>
      </c>
      <c r="B67" s="219">
        <v>3124.12</v>
      </c>
      <c r="C67" s="39">
        <f>SUM('K '!L68,'1-3 '!J68,'4-6'!J68,'7-8 '!J68,'9-12 '!J68,'Special Ed (Simplified)'!I68,'Special Ed (Goal)'!T69)</f>
        <v>215.03443568754568</v>
      </c>
      <c r="D67" s="64">
        <f t="shared" si="0"/>
        <v>8.9260571428571431</v>
      </c>
      <c r="E67" s="220">
        <f t="shared" si="1"/>
        <v>571124.87236237712</v>
      </c>
      <c r="F67" s="338">
        <f t="shared" si="2"/>
        <v>188290.72043345144</v>
      </c>
      <c r="G67" s="221">
        <f t="shared" si="3"/>
        <v>4.5607591240875909</v>
      </c>
      <c r="H67" s="220">
        <f t="shared" si="4"/>
        <v>291815.62821435323</v>
      </c>
      <c r="I67" s="221">
        <f t="shared" si="5"/>
        <v>4.5607591240875909</v>
      </c>
      <c r="J67" s="220">
        <f t="shared" si="6"/>
        <v>161409.83436995035</v>
      </c>
      <c r="K67" s="221">
        <f t="shared" si="7"/>
        <v>1.3823539823008848</v>
      </c>
      <c r="L67" s="338">
        <f t="shared" si="8"/>
        <v>88448.542180014148</v>
      </c>
      <c r="M67" s="27">
        <f t="shared" si="10"/>
        <v>1301089.5975601464</v>
      </c>
    </row>
    <row r="68" spans="1:13" x14ac:dyDescent="0.25">
      <c r="A68" s="41" t="s">
        <v>58</v>
      </c>
      <c r="B68" s="219">
        <v>16899.259999999998</v>
      </c>
      <c r="C68" s="39">
        <f>SUM('K '!L69,'1-3 '!J69,'4-6'!J69,'7-8 '!J69,'9-12 '!J69,'Special Ed (Simplified)'!I69,'Special Ed (Goal)'!T70)</f>
        <v>1010.6782579771391</v>
      </c>
      <c r="D68" s="64">
        <f t="shared" si="0"/>
        <v>48.283599999999993</v>
      </c>
      <c r="E68" s="220">
        <f t="shared" si="1"/>
        <v>3089378.0362209594</v>
      </c>
      <c r="F68" s="338">
        <f t="shared" si="2"/>
        <v>1018518.4436552398</v>
      </c>
      <c r="G68" s="221">
        <f t="shared" si="3"/>
        <v>24.670452554744521</v>
      </c>
      <c r="H68" s="220">
        <f t="shared" si="4"/>
        <v>1578514.3250764026</v>
      </c>
      <c r="I68" s="221">
        <f t="shared" si="5"/>
        <v>24.670452554744521</v>
      </c>
      <c r="J68" s="220">
        <f t="shared" si="6"/>
        <v>873112.03077177797</v>
      </c>
      <c r="K68" s="221">
        <f t="shared" si="7"/>
        <v>7.4775486725663711</v>
      </c>
      <c r="L68" s="338">
        <f t="shared" si="8"/>
        <v>478443.50118466187</v>
      </c>
      <c r="M68" s="27">
        <f t="shared" si="10"/>
        <v>7037966.3369090408</v>
      </c>
    </row>
    <row r="69" spans="1:13" x14ac:dyDescent="0.25">
      <c r="A69" s="41" t="s">
        <v>59</v>
      </c>
      <c r="B69" s="219">
        <v>4230.8599999999997</v>
      </c>
      <c r="C69" s="39">
        <f>SUM('K '!L70,'1-3 '!J70,'4-6'!J70,'7-8 '!J70,'9-12 '!J70,'Special Ed (Simplified)'!I70,'Special Ed (Goal)'!T71)</f>
        <v>292.70210883095376</v>
      </c>
      <c r="D69" s="64">
        <f t="shared" si="0"/>
        <v>12.088171428571428</v>
      </c>
      <c r="E69" s="220">
        <f t="shared" si="1"/>
        <v>773449.6042031314</v>
      </c>
      <c r="F69" s="338">
        <f t="shared" si="2"/>
        <v>254993.94307935427</v>
      </c>
      <c r="G69" s="221">
        <f t="shared" si="3"/>
        <v>6.1764379562043787</v>
      </c>
      <c r="H69" s="220">
        <f t="shared" si="4"/>
        <v>395193.2284249576</v>
      </c>
      <c r="I69" s="221">
        <f t="shared" si="5"/>
        <v>6.1764379562043787</v>
      </c>
      <c r="J69" s="220">
        <f t="shared" si="6"/>
        <v>218590.32682561749</v>
      </c>
      <c r="K69" s="221">
        <f t="shared" si="7"/>
        <v>1.8720619469026547</v>
      </c>
      <c r="L69" s="338">
        <f t="shared" si="8"/>
        <v>119782.01835004246</v>
      </c>
      <c r="M69" s="27">
        <f t="shared" si="10"/>
        <v>1762009.1208831032</v>
      </c>
    </row>
    <row r="70" spans="1:13" x14ac:dyDescent="0.25">
      <c r="A70" s="41" t="s">
        <v>60</v>
      </c>
      <c r="B70" s="219">
        <v>3684.37</v>
      </c>
      <c r="C70" s="39">
        <f>SUM('K '!L71,'1-3 '!J71,'4-6'!J71,'7-8 '!J71,'9-12 '!J71,'Special Ed (Simplified)'!I71,'Special Ed (Goal)'!T72)</f>
        <v>246.95559172690275</v>
      </c>
      <c r="D70" s="64">
        <f t="shared" si="0"/>
        <v>10.526771428571429</v>
      </c>
      <c r="E70" s="220">
        <f t="shared" si="1"/>
        <v>673544.98098209139</v>
      </c>
      <c r="F70" s="338">
        <f t="shared" si="2"/>
        <v>222056.98937409429</v>
      </c>
      <c r="G70" s="221">
        <f t="shared" si="3"/>
        <v>5.3786423357664228</v>
      </c>
      <c r="H70" s="220">
        <f t="shared" si="4"/>
        <v>344147.07057479117</v>
      </c>
      <c r="I70" s="221">
        <f t="shared" si="5"/>
        <v>5.3786423357664228</v>
      </c>
      <c r="J70" s="220">
        <f t="shared" si="6"/>
        <v>190355.54058666565</v>
      </c>
      <c r="K70" s="221">
        <f t="shared" si="7"/>
        <v>1.6302522123893806</v>
      </c>
      <c r="L70" s="338">
        <f t="shared" si="8"/>
        <v>104310.06342643009</v>
      </c>
      <c r="M70" s="27">
        <f t="shared" si="10"/>
        <v>1534414.6449440727</v>
      </c>
    </row>
    <row r="71" spans="1:13" x14ac:dyDescent="0.25">
      <c r="A71" s="41" t="s">
        <v>61</v>
      </c>
      <c r="B71" s="219">
        <v>665.85</v>
      </c>
      <c r="C71" s="39">
        <f>SUM('K '!L72,'1-3 '!J72,'4-6'!J72,'7-8 '!J72,'9-12 '!J72,'Special Ed (Simplified)'!I72,'Special Ed (Goal)'!T73)</f>
        <v>45.454563868071524</v>
      </c>
      <c r="D71" s="64">
        <f t="shared" si="0"/>
        <v>1.9024285714285716</v>
      </c>
      <c r="E71" s="220">
        <f t="shared" si="1"/>
        <v>121724.99656302857</v>
      </c>
      <c r="F71" s="338">
        <f t="shared" si="2"/>
        <v>40130.781212185713</v>
      </c>
      <c r="G71" s="221">
        <f t="shared" si="3"/>
        <v>0.97204379562043797</v>
      </c>
      <c r="H71" s="220">
        <f t="shared" si="4"/>
        <v>62195.253718335764</v>
      </c>
      <c r="I71" s="221">
        <f t="shared" si="5"/>
        <v>0.97204379562043797</v>
      </c>
      <c r="J71" s="220">
        <f t="shared" si="6"/>
        <v>34401.603720481748</v>
      </c>
      <c r="K71" s="221">
        <f t="shared" si="7"/>
        <v>0.29462389380530973</v>
      </c>
      <c r="L71" s="338">
        <f t="shared" si="8"/>
        <v>18851.216281884954</v>
      </c>
      <c r="M71" s="27">
        <f t="shared" si="10"/>
        <v>277303.85149591672</v>
      </c>
    </row>
    <row r="72" spans="1:13" x14ac:dyDescent="0.25">
      <c r="A72" s="41" t="s">
        <v>62</v>
      </c>
      <c r="B72" s="219">
        <v>5751.42</v>
      </c>
      <c r="C72" s="39">
        <f>SUM('K '!L73,'1-3 '!J73,'4-6'!J73,'7-8 '!J73,'9-12 '!J73,'Special Ed (Simplified)'!I73,'Special Ed (Goal)'!T74)</f>
        <v>371.56790667683276</v>
      </c>
      <c r="D72" s="64">
        <f t="shared" si="0"/>
        <v>16.432628571428573</v>
      </c>
      <c r="E72" s="220">
        <f t="shared" si="1"/>
        <v>1051425.3656717485</v>
      </c>
      <c r="F72" s="338">
        <f t="shared" si="2"/>
        <v>346638.09818936576</v>
      </c>
      <c r="G72" s="221">
        <f t="shared" si="3"/>
        <v>8.3962335766423362</v>
      </c>
      <c r="H72" s="220">
        <f t="shared" si="4"/>
        <v>537224.63939432404</v>
      </c>
      <c r="I72" s="221">
        <f t="shared" si="5"/>
        <v>8.3962335766423362</v>
      </c>
      <c r="J72" s="220">
        <f t="shared" si="6"/>
        <v>297151.11762416933</v>
      </c>
      <c r="K72" s="221">
        <f t="shared" si="7"/>
        <v>2.5448761061946903</v>
      </c>
      <c r="L72" s="338">
        <f t="shared" si="8"/>
        <v>162831.36194031502</v>
      </c>
      <c r="M72" s="27">
        <f t="shared" si="10"/>
        <v>2395270.5828199224</v>
      </c>
    </row>
    <row r="73" spans="1:13" x14ac:dyDescent="0.25">
      <c r="A73" s="41" t="s">
        <v>63</v>
      </c>
      <c r="B73" s="219">
        <v>10099.5</v>
      </c>
      <c r="C73" s="39">
        <f>SUM('K '!L74,'1-3 '!J74,'4-6'!J74,'7-8 '!J74,'9-12 '!J74,'Special Ed (Simplified)'!I74,'Special Ed (Goal)'!T75)</f>
        <v>666.69856126491572</v>
      </c>
      <c r="D73" s="64">
        <f t="shared" si="0"/>
        <v>28.855714285714285</v>
      </c>
      <c r="E73" s="220">
        <f t="shared" si="1"/>
        <v>1846304.126737714</v>
      </c>
      <c r="F73" s="338">
        <f t="shared" si="2"/>
        <v>608696.89097014279</v>
      </c>
      <c r="G73" s="221">
        <f t="shared" si="3"/>
        <v>14.743795620437956</v>
      </c>
      <c r="H73" s="220">
        <f t="shared" si="4"/>
        <v>943367.07205576636</v>
      </c>
      <c r="I73" s="221">
        <f t="shared" si="5"/>
        <v>14.743795620437956</v>
      </c>
      <c r="J73" s="220">
        <f t="shared" si="6"/>
        <v>521797.69734175177</v>
      </c>
      <c r="K73" s="221">
        <f t="shared" si="7"/>
        <v>4.4688053097345133</v>
      </c>
      <c r="L73" s="338">
        <f t="shared" si="8"/>
        <v>285932.05502575217</v>
      </c>
      <c r="M73" s="27">
        <f t="shared" si="10"/>
        <v>4206097.8421311267</v>
      </c>
    </row>
    <row r="74" spans="1:13" x14ac:dyDescent="0.25">
      <c r="A74" s="41" t="s">
        <v>64</v>
      </c>
      <c r="B74" s="219">
        <v>2483.25</v>
      </c>
      <c r="C74" s="39">
        <f>SUM('K '!L75,'1-3 '!J75,'4-6'!J75,'7-8 '!J75,'9-12 '!J75,'Special Ed (Simplified)'!I75,'Special Ed (Goal)'!T76)</f>
        <v>168.11975422391333</v>
      </c>
      <c r="D74" s="64">
        <f t="shared" si="0"/>
        <v>7.0949999999999998</v>
      </c>
      <c r="E74" s="220">
        <f t="shared" si="1"/>
        <v>453966.50554199994</v>
      </c>
      <c r="F74" s="338">
        <f t="shared" si="2"/>
        <v>149665.4838855</v>
      </c>
      <c r="G74" s="221">
        <f t="shared" si="3"/>
        <v>3.6251824817518248</v>
      </c>
      <c r="H74" s="220">
        <f t="shared" si="4"/>
        <v>231953.68896306568</v>
      </c>
      <c r="I74" s="221">
        <f t="shared" si="5"/>
        <v>3.6251824817518248</v>
      </c>
      <c r="J74" s="220">
        <f t="shared" si="6"/>
        <v>128298.83973700729</v>
      </c>
      <c r="K74" s="221">
        <f t="shared" si="7"/>
        <v>1.098783185840708</v>
      </c>
      <c r="L74" s="338">
        <f t="shared" si="8"/>
        <v>70304.547318451325</v>
      </c>
      <c r="M74" s="27">
        <f t="shared" si="10"/>
        <v>1034189.0654460243</v>
      </c>
    </row>
    <row r="75" spans="1:13" x14ac:dyDescent="0.25">
      <c r="A75" s="41" t="s">
        <v>65</v>
      </c>
      <c r="B75" s="219">
        <v>3390.2</v>
      </c>
      <c r="C75" s="39">
        <f>SUM('K '!L76,'1-3 '!J76,'4-6'!J76,'7-8 '!J76,'9-12 '!J76,'Special Ed (Simplified)'!I76,'Special Ed (Goal)'!T77)</f>
        <v>219.65471620092956</v>
      </c>
      <c r="D75" s="64">
        <f t="shared" si="0"/>
        <v>9.6862857142857131</v>
      </c>
      <c r="E75" s="220">
        <f t="shared" si="1"/>
        <v>619767.34001348563</v>
      </c>
      <c r="F75" s="338">
        <f t="shared" si="2"/>
        <v>204327.36271765712</v>
      </c>
      <c r="G75" s="221">
        <f t="shared" si="3"/>
        <v>4.9491970802919703</v>
      </c>
      <c r="H75" s="220">
        <f t="shared" si="4"/>
        <v>316669.44380251091</v>
      </c>
      <c r="I75" s="221">
        <f t="shared" si="5"/>
        <v>4.9491970802919703</v>
      </c>
      <c r="J75" s="220">
        <f t="shared" si="6"/>
        <v>175157.04277716787</v>
      </c>
      <c r="K75" s="221">
        <f t="shared" si="7"/>
        <v>1.5000884955752212</v>
      </c>
      <c r="L75" s="338">
        <f t="shared" si="8"/>
        <v>95981.667701203536</v>
      </c>
      <c r="M75" s="27">
        <f t="shared" si="10"/>
        <v>1411902.8570120251</v>
      </c>
    </row>
    <row r="76" spans="1:13" x14ac:dyDescent="0.25">
      <c r="A76" s="41" t="s">
        <v>66</v>
      </c>
      <c r="B76" s="219">
        <v>6118.74</v>
      </c>
      <c r="C76" s="39">
        <f>SUM('K '!L77,'1-3 '!J77,'4-6'!J77,'7-8 '!J77,'9-12 '!J77,'Special Ed (Simplified)'!I77,'Special Ed (Goal)'!T78)</f>
        <v>404.11948882581197</v>
      </c>
      <c r="D76" s="64">
        <f t="shared" si="0"/>
        <v>17.482114285714285</v>
      </c>
      <c r="E76" s="220">
        <f t="shared" si="1"/>
        <v>1118575.6633927543</v>
      </c>
      <c r="F76" s="338">
        <f t="shared" si="2"/>
        <v>368776.47553390282</v>
      </c>
      <c r="G76" s="221">
        <f t="shared" si="3"/>
        <v>8.9324671532846711</v>
      </c>
      <c r="H76" s="220">
        <f t="shared" si="4"/>
        <v>571535.01049264811</v>
      </c>
      <c r="I76" s="221">
        <f t="shared" si="5"/>
        <v>8.9324671532846711</v>
      </c>
      <c r="J76" s="220">
        <f t="shared" si="6"/>
        <v>316128.96110033867</v>
      </c>
      <c r="K76" s="221">
        <f t="shared" si="7"/>
        <v>2.7074070796460177</v>
      </c>
      <c r="L76" s="338">
        <f t="shared" si="8"/>
        <v>173230.74433073628</v>
      </c>
      <c r="M76" s="27">
        <f t="shared" si="10"/>
        <v>2548246.8548503798</v>
      </c>
    </row>
    <row r="77" spans="1:13" x14ac:dyDescent="0.25">
      <c r="A77" s="41" t="s">
        <v>67</v>
      </c>
      <c r="B77" s="219">
        <v>15618.17</v>
      </c>
      <c r="C77" s="39">
        <f>SUM('K '!L78,'1-3 '!J78,'4-6'!J78,'7-8 '!J78,'9-12 '!J78,'Special Ed (Simplified)'!I78,'Special Ed (Goal)'!T79)</f>
        <v>970.12943224888613</v>
      </c>
      <c r="D77" s="64">
        <f t="shared" si="0"/>
        <v>44.623342857142859</v>
      </c>
      <c r="E77" s="220">
        <f t="shared" si="1"/>
        <v>2855180.1300154626</v>
      </c>
      <c r="F77" s="338">
        <f t="shared" si="2"/>
        <v>941307.14606100856</v>
      </c>
      <c r="G77" s="221">
        <f t="shared" si="3"/>
        <v>22.800248175182482</v>
      </c>
      <c r="H77" s="220">
        <f t="shared" si="4"/>
        <v>1458851.1613217692</v>
      </c>
      <c r="I77" s="221">
        <f t="shared" si="5"/>
        <v>22.800248175182482</v>
      </c>
      <c r="J77" s="220">
        <f t="shared" si="6"/>
        <v>806923.62420832983</v>
      </c>
      <c r="K77" s="221">
        <f t="shared" si="7"/>
        <v>6.9106946902654869</v>
      </c>
      <c r="L77" s="338">
        <f t="shared" si="8"/>
        <v>442173.91394044779</v>
      </c>
      <c r="M77" s="27">
        <f t="shared" si="10"/>
        <v>6504435.9755470185</v>
      </c>
    </row>
    <row r="78" spans="1:13" x14ac:dyDescent="0.25">
      <c r="A78" s="41" t="s">
        <v>68</v>
      </c>
      <c r="B78" s="219">
        <v>22502.1</v>
      </c>
      <c r="C78" s="39">
        <f>SUM('K '!L79,'1-3 '!J79,'4-6'!J79,'7-8 '!J79,'9-12 '!J79,'Special Ed (Simplified)'!I79,'Special Ed (Goal)'!T80)</f>
        <v>1468.2483080488514</v>
      </c>
      <c r="D78" s="64">
        <f t="shared" si="0"/>
        <v>64.291714285714278</v>
      </c>
      <c r="E78" s="220">
        <f t="shared" si="1"/>
        <v>4113641.2783073136</v>
      </c>
      <c r="F78" s="338">
        <f t="shared" si="2"/>
        <v>1356201.6248625426</v>
      </c>
      <c r="G78" s="221">
        <f t="shared" si="3"/>
        <v>32.849781021897805</v>
      </c>
      <c r="H78" s="220">
        <f t="shared" si="4"/>
        <v>2101860.5071643209</v>
      </c>
      <c r="I78" s="221">
        <f t="shared" si="5"/>
        <v>32.849781021897805</v>
      </c>
      <c r="J78" s="220">
        <f t="shared" si="6"/>
        <v>1162586.6592755909</v>
      </c>
      <c r="K78" s="221">
        <f t="shared" si="7"/>
        <v>9.9566814159292036</v>
      </c>
      <c r="L78" s="338">
        <f t="shared" si="8"/>
        <v>637068.33956086717</v>
      </c>
      <c r="M78" s="27">
        <f t="shared" ref="M78:M94" si="11">E78+H78+J78+L78+F78</f>
        <v>9371358.4091706369</v>
      </c>
    </row>
    <row r="79" spans="1:13" x14ac:dyDescent="0.25">
      <c r="A79" s="41" t="s">
        <v>69</v>
      </c>
      <c r="B79" s="219">
        <v>27586.57</v>
      </c>
      <c r="C79" s="39">
        <f>SUM('K '!L80,'1-3 '!J80,'4-6'!J80,'7-8 '!J80,'9-12 '!J80,'Special Ed (Simplified)'!I80,'Special Ed (Goal)'!T81)</f>
        <v>1690.2759820787135</v>
      </c>
      <c r="D79" s="64">
        <f t="shared" ref="D79:D94" si="12">($B$8*(B79/$B$9))</f>
        <v>78.818771428571424</v>
      </c>
      <c r="E79" s="220">
        <f t="shared" ref="E79:E94" si="13">($B$4+$B$5+$B$6)*D79</f>
        <v>5043140.5548332911</v>
      </c>
      <c r="F79" s="338">
        <f t="shared" ref="F79:F94" si="14">B79/$D$9*$D$8*($D$4+$D$5+$D$6)</f>
        <v>1662642.644836894</v>
      </c>
      <c r="G79" s="221">
        <f t="shared" ref="G79:G94" si="15">($F$8*(B79/$F$9))</f>
        <v>40.272364963503648</v>
      </c>
      <c r="H79" s="220">
        <f t="shared" ref="H79:H94" si="16">($F$4+$F$5+$F$6)*G79</f>
        <v>2576787.1448053312</v>
      </c>
      <c r="I79" s="221">
        <f t="shared" ref="I79:I94" si="17">($H$8*(B79/$H$9))</f>
        <v>40.272364963503648</v>
      </c>
      <c r="J79" s="220">
        <f t="shared" ref="J79:J94" si="18">($H$4+$H$5+$H$6)*I79</f>
        <v>1425279.3409136145</v>
      </c>
      <c r="K79" s="221">
        <f t="shared" ref="K79:K94" si="19">($J$8*(B79/$J$9))</f>
        <v>12.206446902654868</v>
      </c>
      <c r="L79" s="338">
        <f t="shared" ref="L79:L94" si="20">($J$4+$J$5+$J$6)*K79</f>
        <v>781017.34256267792</v>
      </c>
      <c r="M79" s="27">
        <f t="shared" si="11"/>
        <v>11488867.027951807</v>
      </c>
    </row>
    <row r="80" spans="1:13" x14ac:dyDescent="0.25">
      <c r="A80" s="41" t="s">
        <v>70</v>
      </c>
      <c r="B80" s="219">
        <v>2197.3200000000002</v>
      </c>
      <c r="C80" s="39">
        <f>SUM('K '!L81,'1-3 '!J81,'4-6'!J81,'7-8 '!J81,'9-12 '!J81,'Special Ed (Simplified)'!I81,'Special Ed (Goal)'!T82)</f>
        <v>147.76238181088081</v>
      </c>
      <c r="D80" s="64">
        <f t="shared" si="12"/>
        <v>6.2780571428571434</v>
      </c>
      <c r="E80" s="220">
        <f t="shared" si="13"/>
        <v>401695.23082957714</v>
      </c>
      <c r="F80" s="338">
        <f t="shared" si="14"/>
        <v>132432.48205025145</v>
      </c>
      <c r="G80" s="221">
        <f t="shared" si="15"/>
        <v>3.2077664233576644</v>
      </c>
      <c r="H80" s="220">
        <f t="shared" si="16"/>
        <v>205245.7383800759</v>
      </c>
      <c r="I80" s="221">
        <f t="shared" si="17"/>
        <v>3.2077664233576644</v>
      </c>
      <c r="J80" s="220">
        <f t="shared" si="18"/>
        <v>113526.06726303065</v>
      </c>
      <c r="K80" s="221">
        <f t="shared" si="19"/>
        <v>0.97226548672566382</v>
      </c>
      <c r="L80" s="338">
        <f t="shared" si="20"/>
        <v>62209.438402810621</v>
      </c>
      <c r="M80" s="27">
        <f t="shared" si="11"/>
        <v>915108.95692574582</v>
      </c>
    </row>
    <row r="81" spans="1:13" x14ac:dyDescent="0.25">
      <c r="A81" s="41" t="s">
        <v>71</v>
      </c>
      <c r="B81" s="219">
        <v>4904.8</v>
      </c>
      <c r="C81" s="39">
        <f>SUM('K '!L82,'1-3 '!J82,'4-6'!J82,'7-8 '!J82,'9-12 '!J82,'Special Ed (Simplified)'!I82,'Special Ed (Goal)'!T83)</f>
        <v>298.52448393824329</v>
      </c>
      <c r="D81" s="64">
        <f t="shared" si="12"/>
        <v>14.013714285714286</v>
      </c>
      <c r="E81" s="220">
        <f t="shared" si="13"/>
        <v>896653.54530651425</v>
      </c>
      <c r="F81" s="338">
        <f t="shared" si="14"/>
        <v>295612.30861234287</v>
      </c>
      <c r="G81" s="221">
        <f t="shared" si="15"/>
        <v>7.1602919708029198</v>
      </c>
      <c r="H81" s="220">
        <f t="shared" si="16"/>
        <v>458144.14723690506</v>
      </c>
      <c r="I81" s="221">
        <f t="shared" si="17"/>
        <v>7.1602919708029198</v>
      </c>
      <c r="J81" s="220">
        <f t="shared" si="18"/>
        <v>253409.90602721166</v>
      </c>
      <c r="K81" s="221">
        <f t="shared" si="19"/>
        <v>2.1702654867256639</v>
      </c>
      <c r="L81" s="338">
        <f t="shared" si="20"/>
        <v>138862.27471561063</v>
      </c>
      <c r="M81" s="27">
        <f t="shared" si="11"/>
        <v>2042682.1818985844</v>
      </c>
    </row>
    <row r="82" spans="1:13" x14ac:dyDescent="0.25">
      <c r="A82" s="41" t="s">
        <v>72</v>
      </c>
      <c r="B82" s="219">
        <v>9921.15</v>
      </c>
      <c r="C82" s="39">
        <f>SUM('K '!L83,'1-3 '!J83,'4-6'!J83,'7-8 '!J83,'9-12 '!J83,'Special Ed (Simplified)'!I83,'Special Ed (Goal)'!T84)</f>
        <v>615.12827283211686</v>
      </c>
      <c r="D82" s="64">
        <f t="shared" si="12"/>
        <v>28.346142857142855</v>
      </c>
      <c r="E82" s="220">
        <f t="shared" si="13"/>
        <v>1813699.7066175425</v>
      </c>
      <c r="F82" s="338">
        <f t="shared" si="14"/>
        <v>597947.73601152853</v>
      </c>
      <c r="G82" s="221">
        <f t="shared" si="15"/>
        <v>14.483430656934306</v>
      </c>
      <c r="H82" s="220">
        <f t="shared" si="16"/>
        <v>926707.87929363502</v>
      </c>
      <c r="I82" s="221">
        <f t="shared" si="17"/>
        <v>14.483430656934306</v>
      </c>
      <c r="J82" s="220">
        <f t="shared" si="18"/>
        <v>512583.12044973718</v>
      </c>
      <c r="K82" s="221">
        <f t="shared" si="19"/>
        <v>4.3898893805309731</v>
      </c>
      <c r="L82" s="338">
        <f t="shared" si="20"/>
        <v>280882.69792749552</v>
      </c>
      <c r="M82" s="27">
        <f t="shared" si="11"/>
        <v>4131821.1402999386</v>
      </c>
    </row>
    <row r="83" spans="1:13" x14ac:dyDescent="0.25">
      <c r="A83" s="41" t="s">
        <v>73</v>
      </c>
      <c r="B83" s="219">
        <v>2737.16</v>
      </c>
      <c r="C83" s="39">
        <f>SUM('K '!L84,'1-3 '!J84,'4-6'!J84,'7-8 '!J84,'9-12 '!J84,'Special Ed (Simplified)'!I84,'Special Ed (Goal)'!T85)</f>
        <v>179.42411972114556</v>
      </c>
      <c r="D83" s="64">
        <f t="shared" si="12"/>
        <v>7.8204571428571423</v>
      </c>
      <c r="E83" s="220">
        <f t="shared" si="13"/>
        <v>500384.15798221709</v>
      </c>
      <c r="F83" s="338">
        <f t="shared" si="14"/>
        <v>164968.6402384114</v>
      </c>
      <c r="G83" s="221">
        <f t="shared" si="15"/>
        <v>3.9958540145985397</v>
      </c>
      <c r="H83" s="220">
        <f t="shared" si="16"/>
        <v>255670.73765514742</v>
      </c>
      <c r="I83" s="221">
        <f t="shared" si="17"/>
        <v>3.9958540145985397</v>
      </c>
      <c r="J83" s="220">
        <f t="shared" si="18"/>
        <v>141417.27662319414</v>
      </c>
      <c r="K83" s="221">
        <f t="shared" si="19"/>
        <v>1.2111327433628318</v>
      </c>
      <c r="L83" s="338">
        <f t="shared" si="20"/>
        <v>77493.121811405304</v>
      </c>
      <c r="M83" s="27">
        <f t="shared" si="11"/>
        <v>1139933.9343103752</v>
      </c>
    </row>
    <row r="84" spans="1:13" x14ac:dyDescent="0.25">
      <c r="A84" s="41" t="s">
        <v>74</v>
      </c>
      <c r="B84" s="219">
        <v>2669.43</v>
      </c>
      <c r="C84" s="39">
        <f>SUM('K '!L85,'1-3 '!J85,'4-6'!J85,'7-8 '!J85,'9-12 '!J85,'Special Ed (Simplified)'!I85,'Special Ed (Goal)'!T86)</f>
        <v>171.80108821600123</v>
      </c>
      <c r="D84" s="64">
        <f t="shared" si="12"/>
        <v>7.6269428571428568</v>
      </c>
      <c r="E84" s="220">
        <f t="shared" si="13"/>
        <v>488002.33922842279</v>
      </c>
      <c r="F84" s="338">
        <f t="shared" si="14"/>
        <v>160886.55296424855</v>
      </c>
      <c r="G84" s="221">
        <f t="shared" si="15"/>
        <v>3.8969781021897809</v>
      </c>
      <c r="H84" s="220">
        <f t="shared" si="16"/>
        <v>249344.2609196321</v>
      </c>
      <c r="I84" s="221">
        <f t="shared" si="17"/>
        <v>3.8969781021897809</v>
      </c>
      <c r="J84" s="220">
        <f t="shared" si="18"/>
        <v>137917.9590291591</v>
      </c>
      <c r="K84" s="221">
        <f t="shared" si="19"/>
        <v>1.1811637168141593</v>
      </c>
      <c r="L84" s="338">
        <f t="shared" si="20"/>
        <v>75575.583508826545</v>
      </c>
      <c r="M84" s="27">
        <f t="shared" si="11"/>
        <v>1111726.6956502891</v>
      </c>
    </row>
    <row r="85" spans="1:13" x14ac:dyDescent="0.25">
      <c r="A85" s="41" t="s">
        <v>75</v>
      </c>
      <c r="B85" s="219">
        <v>8533.4500000000007</v>
      </c>
      <c r="C85" s="39">
        <f>SUM('K '!L86,'1-3 '!J86,'4-6'!J86,'7-8 '!J86,'9-12 '!J86,'Special Ed (Simplified)'!I86,'Special Ed (Goal)'!T87)</f>
        <v>527.91610415828268</v>
      </c>
      <c r="D85" s="64">
        <f t="shared" si="12"/>
        <v>24.381285714285717</v>
      </c>
      <c r="E85" s="220">
        <f t="shared" si="13"/>
        <v>1560012.2729154858</v>
      </c>
      <c r="F85" s="338">
        <f t="shared" si="14"/>
        <v>514311.05344315717</v>
      </c>
      <c r="G85" s="221">
        <f t="shared" si="15"/>
        <v>12.457591240875914</v>
      </c>
      <c r="H85" s="220">
        <f t="shared" si="16"/>
        <v>797086.56280353293</v>
      </c>
      <c r="I85" s="221">
        <f t="shared" si="17"/>
        <v>12.457591240875914</v>
      </c>
      <c r="J85" s="220">
        <f t="shared" si="18"/>
        <v>440886.63402950368</v>
      </c>
      <c r="K85" s="221">
        <f t="shared" si="19"/>
        <v>3.7758628318584075</v>
      </c>
      <c r="L85" s="338">
        <f t="shared" si="20"/>
        <v>241594.82102673454</v>
      </c>
      <c r="M85" s="27">
        <f t="shared" si="11"/>
        <v>3553891.3442184138</v>
      </c>
    </row>
    <row r="86" spans="1:13" x14ac:dyDescent="0.25">
      <c r="A86" s="41" t="s">
        <v>76</v>
      </c>
      <c r="B86" s="219">
        <v>10966.62</v>
      </c>
      <c r="C86" s="39">
        <f>SUM('K '!L87,'1-3 '!J87,'4-6'!J87,'7-8 '!J87,'9-12 '!J87,'Special Ed (Simplified)'!I87,'Special Ed (Goal)'!T88)</f>
        <v>705.36064812289908</v>
      </c>
      <c r="D86" s="64">
        <f t="shared" si="12"/>
        <v>31.333200000000001</v>
      </c>
      <c r="E86" s="220">
        <f t="shared" si="13"/>
        <v>2004823.5815995201</v>
      </c>
      <c r="F86" s="338">
        <f t="shared" si="14"/>
        <v>660958.21559987997</v>
      </c>
      <c r="G86" s="221">
        <f t="shared" si="15"/>
        <v>16.009664233576643</v>
      </c>
      <c r="H86" s="220">
        <f t="shared" si="16"/>
        <v>1024362.4139559591</v>
      </c>
      <c r="I86" s="221">
        <f t="shared" si="17"/>
        <v>16.009664233576643</v>
      </c>
      <c r="J86" s="220">
        <f t="shared" si="18"/>
        <v>566598.05570790661</v>
      </c>
      <c r="K86" s="221">
        <f t="shared" si="19"/>
        <v>4.8524867256637174</v>
      </c>
      <c r="L86" s="338">
        <f t="shared" si="20"/>
        <v>310481.5281238195</v>
      </c>
      <c r="M86" s="27">
        <f t="shared" si="11"/>
        <v>4567223.7949870843</v>
      </c>
    </row>
    <row r="87" spans="1:13" x14ac:dyDescent="0.25">
      <c r="A87" s="41" t="s">
        <v>77</v>
      </c>
      <c r="B87" s="219">
        <v>7107.44</v>
      </c>
      <c r="C87" s="39">
        <f>SUM('K '!L88,'1-3 '!J88,'4-6'!J88,'7-8 '!J88,'9-12 '!J88,'Special Ed (Simplified)'!I88,'Special Ed (Goal)'!T89)</f>
        <v>450.67485560559646</v>
      </c>
      <c r="D87" s="64">
        <f t="shared" si="12"/>
        <v>20.306971428571426</v>
      </c>
      <c r="E87" s="220">
        <f t="shared" si="13"/>
        <v>1299321.3329908112</v>
      </c>
      <c r="F87" s="338">
        <f t="shared" si="14"/>
        <v>428365.42707627424</v>
      </c>
      <c r="G87" s="221">
        <f t="shared" si="15"/>
        <v>10.375824817518248</v>
      </c>
      <c r="H87" s="220">
        <f t="shared" si="16"/>
        <v>663886.81247705687</v>
      </c>
      <c r="I87" s="221">
        <f t="shared" si="17"/>
        <v>10.375824817518248</v>
      </c>
      <c r="J87" s="220">
        <f t="shared" si="18"/>
        <v>367210.83479327295</v>
      </c>
      <c r="K87" s="221">
        <f t="shared" si="19"/>
        <v>3.1448849557522123</v>
      </c>
      <c r="L87" s="338">
        <f t="shared" si="20"/>
        <v>201222.33033043539</v>
      </c>
      <c r="M87" s="27">
        <f t="shared" si="11"/>
        <v>2960006.7376678502</v>
      </c>
    </row>
    <row r="88" spans="1:13" x14ac:dyDescent="0.25">
      <c r="A88" s="41" t="s">
        <v>78</v>
      </c>
      <c r="B88" s="219">
        <v>15888.61</v>
      </c>
      <c r="C88" s="39">
        <f>SUM('K '!L89,'1-3 '!J89,'4-6'!J89,'7-8 '!J89,'9-12 '!J89,'Special Ed (Simplified)'!I89,'Special Ed (Goal)'!T90)</f>
        <v>1040.2071470481424</v>
      </c>
      <c r="D88" s="64">
        <f t="shared" si="12"/>
        <v>45.396028571428573</v>
      </c>
      <c r="E88" s="220">
        <f t="shared" si="13"/>
        <v>2904619.6555399885</v>
      </c>
      <c r="F88" s="338">
        <f t="shared" si="14"/>
        <v>957606.56555642572</v>
      </c>
      <c r="G88" s="221">
        <f t="shared" si="15"/>
        <v>23.195051094890513</v>
      </c>
      <c r="H88" s="220">
        <f t="shared" si="16"/>
        <v>1484112.2327576585</v>
      </c>
      <c r="I88" s="221">
        <f t="shared" si="17"/>
        <v>23.195051094890513</v>
      </c>
      <c r="J88" s="220">
        <f t="shared" si="18"/>
        <v>820896.09505036206</v>
      </c>
      <c r="K88" s="221">
        <f t="shared" si="19"/>
        <v>7.0303584070796461</v>
      </c>
      <c r="L88" s="338">
        <f t="shared" si="20"/>
        <v>449830.47762787429</v>
      </c>
      <c r="M88" s="27">
        <f t="shared" si="11"/>
        <v>6617065.0265323091</v>
      </c>
    </row>
    <row r="89" spans="1:13" x14ac:dyDescent="0.25">
      <c r="A89" s="41" t="s">
        <v>79</v>
      </c>
      <c r="B89" s="219">
        <v>3787.02</v>
      </c>
      <c r="C89" s="39">
        <f>SUM('K '!L90,'1-3 '!J90,'4-6'!J90,'7-8 '!J90,'9-12 '!J90,'Special Ed (Simplified)'!I90,'Special Ed (Goal)'!T91)</f>
        <v>250.70103599683736</v>
      </c>
      <c r="D89" s="64">
        <f t="shared" si="12"/>
        <v>10.820057142857143</v>
      </c>
      <c r="E89" s="220">
        <f t="shared" si="13"/>
        <v>692310.57518077712</v>
      </c>
      <c r="F89" s="338">
        <f t="shared" si="14"/>
        <v>228243.70513805142</v>
      </c>
      <c r="G89" s="221">
        <f t="shared" si="15"/>
        <v>5.5284963503649633</v>
      </c>
      <c r="H89" s="220">
        <f t="shared" si="16"/>
        <v>353735.33038433868</v>
      </c>
      <c r="I89" s="221">
        <f t="shared" si="17"/>
        <v>5.5284963503649633</v>
      </c>
      <c r="J89" s="220">
        <f t="shared" si="18"/>
        <v>195659.02428705984</v>
      </c>
      <c r="K89" s="221">
        <f t="shared" si="19"/>
        <v>1.6756725663716814</v>
      </c>
      <c r="L89" s="338">
        <f t="shared" si="20"/>
        <v>107216.2395191469</v>
      </c>
      <c r="M89" s="27">
        <f t="shared" si="11"/>
        <v>1577164.8745093741</v>
      </c>
    </row>
    <row r="90" spans="1:13" x14ac:dyDescent="0.25">
      <c r="A90" s="41" t="s">
        <v>80</v>
      </c>
      <c r="B90" s="219">
        <v>3426.1</v>
      </c>
      <c r="C90" s="39">
        <f>SUM('K '!L91,'1-3 '!J91,'4-6'!J91,'7-8 '!J91,'9-12 '!J91,'Special Ed (Simplified)'!I91,'Special Ed (Goal)'!T92)</f>
        <v>237.62264433700483</v>
      </c>
      <c r="D90" s="64">
        <f t="shared" si="12"/>
        <v>9.7888571428571431</v>
      </c>
      <c r="E90" s="220">
        <f t="shared" si="13"/>
        <v>626330.27066845715</v>
      </c>
      <c r="F90" s="338">
        <f t="shared" si="14"/>
        <v>206491.05580997144</v>
      </c>
      <c r="G90" s="221">
        <f t="shared" si="15"/>
        <v>5.0016058394160581</v>
      </c>
      <c r="H90" s="220">
        <f t="shared" si="16"/>
        <v>320022.76603497809</v>
      </c>
      <c r="I90" s="221">
        <f t="shared" si="17"/>
        <v>5.0016058394160581</v>
      </c>
      <c r="J90" s="220">
        <f t="shared" si="18"/>
        <v>177011.8412656642</v>
      </c>
      <c r="K90" s="221">
        <f t="shared" si="19"/>
        <v>1.5159734513274337</v>
      </c>
      <c r="L90" s="338">
        <f t="shared" si="20"/>
        <v>96998.050767238936</v>
      </c>
      <c r="M90" s="27">
        <f t="shared" si="11"/>
        <v>1426853.9845463098</v>
      </c>
    </row>
    <row r="91" spans="1:13" x14ac:dyDescent="0.25">
      <c r="A91" s="41" t="s">
        <v>81</v>
      </c>
      <c r="B91" s="219">
        <v>4956.4399999999996</v>
      </c>
      <c r="C91" s="39">
        <f>SUM('K '!L92,'1-3 '!J92,'4-6'!J92,'7-8 '!J92,'9-12 '!J92,'Special Ed (Simplified)'!I92,'Special Ed (Goal)'!T93)</f>
        <v>327.56641375436897</v>
      </c>
      <c r="D91" s="64">
        <f t="shared" si="12"/>
        <v>14.161257142857142</v>
      </c>
      <c r="E91" s="220">
        <f t="shared" si="13"/>
        <v>906093.928009097</v>
      </c>
      <c r="F91" s="338">
        <f t="shared" si="14"/>
        <v>298724.6515451314</v>
      </c>
      <c r="G91" s="221">
        <f t="shared" si="15"/>
        <v>7.235678832116788</v>
      </c>
      <c r="H91" s="220">
        <f t="shared" si="16"/>
        <v>462967.70044260431</v>
      </c>
      <c r="I91" s="221">
        <f t="shared" si="17"/>
        <v>7.235678832116788</v>
      </c>
      <c r="J91" s="220">
        <f t="shared" si="18"/>
        <v>256077.92257166712</v>
      </c>
      <c r="K91" s="221">
        <f t="shared" si="19"/>
        <v>2.1931150442477874</v>
      </c>
      <c r="L91" s="338">
        <f t="shared" si="20"/>
        <v>140324.28088636458</v>
      </c>
      <c r="M91" s="27">
        <f t="shared" si="11"/>
        <v>2064188.4834548642</v>
      </c>
    </row>
    <row r="92" spans="1:13" x14ac:dyDescent="0.25">
      <c r="A92" s="41" t="s">
        <v>82</v>
      </c>
      <c r="B92" s="219">
        <v>7694.47</v>
      </c>
      <c r="C92" s="39">
        <f>SUM('K '!L93,'1-3 '!J93,'4-6'!J93,'7-8 '!J93,'9-12 '!J93,'Special Ed (Simplified)'!I93,'Special Ed (Goal)'!T94)</f>
        <v>435.58791545790911</v>
      </c>
      <c r="D92" s="64">
        <f t="shared" si="12"/>
        <v>21.984200000000001</v>
      </c>
      <c r="E92" s="220">
        <f t="shared" si="13"/>
        <v>1406637.1319431199</v>
      </c>
      <c r="F92" s="338">
        <f t="shared" si="14"/>
        <v>463745.72668577998</v>
      </c>
      <c r="G92" s="221">
        <f t="shared" si="15"/>
        <v>11.23280291970803</v>
      </c>
      <c r="H92" s="220">
        <f t="shared" si="16"/>
        <v>718719.70245268906</v>
      </c>
      <c r="I92" s="221">
        <f t="shared" si="17"/>
        <v>11.23280291970803</v>
      </c>
      <c r="J92" s="220">
        <f t="shared" si="18"/>
        <v>397540.14835043211</v>
      </c>
      <c r="K92" s="221">
        <f t="shared" si="19"/>
        <v>3.4046327433628321</v>
      </c>
      <c r="L92" s="338">
        <f t="shared" si="20"/>
        <v>217842.0337080053</v>
      </c>
      <c r="M92" s="27">
        <f t="shared" si="11"/>
        <v>3204484.7431400265</v>
      </c>
    </row>
    <row r="93" spans="1:13" x14ac:dyDescent="0.25">
      <c r="A93" s="41" t="s">
        <v>83</v>
      </c>
      <c r="B93" s="219">
        <v>17132.009999999998</v>
      </c>
      <c r="C93" s="39">
        <f>SUM('K '!L94,'1-3 '!J94,'4-6'!J94,'7-8 '!J94,'9-12 '!J94,'Special Ed (Simplified)'!I94,'Special Ed (Goal)'!T95)</f>
        <v>1083.5972663776447</v>
      </c>
      <c r="D93" s="64">
        <f t="shared" si="12"/>
        <v>48.948599999999992</v>
      </c>
      <c r="E93" s="220">
        <f t="shared" si="13"/>
        <v>3131927.3986149593</v>
      </c>
      <c r="F93" s="338">
        <f t="shared" si="14"/>
        <v>1032546.2867537398</v>
      </c>
      <c r="G93" s="221">
        <f t="shared" si="15"/>
        <v>25.010233576642335</v>
      </c>
      <c r="H93" s="220">
        <f t="shared" si="16"/>
        <v>1600254.875204724</v>
      </c>
      <c r="I93" s="221">
        <f t="shared" si="17"/>
        <v>25.010233576642335</v>
      </c>
      <c r="J93" s="220">
        <f t="shared" si="18"/>
        <v>885137.22152936924</v>
      </c>
      <c r="K93" s="221">
        <f t="shared" si="19"/>
        <v>7.5805353982300874</v>
      </c>
      <c r="L93" s="338">
        <f t="shared" si="20"/>
        <v>485033.0042102813</v>
      </c>
      <c r="M93" s="27">
        <f t="shared" si="11"/>
        <v>7134898.7863130737</v>
      </c>
    </row>
    <row r="94" spans="1:13" x14ac:dyDescent="0.25">
      <c r="A94" s="41" t="s">
        <v>84</v>
      </c>
      <c r="B94" s="219">
        <v>15937.31</v>
      </c>
      <c r="C94" s="39">
        <f>SUM('K '!L95,'1-3 '!J95,'4-6'!J95,'7-8 '!J95,'9-12 '!J95,'Special Ed (Simplified)'!I95,'Special Ed (Goal)'!T96)</f>
        <v>866.56061645246393</v>
      </c>
      <c r="D94" s="64">
        <f t="shared" si="12"/>
        <v>45.535171428571424</v>
      </c>
      <c r="E94" s="220">
        <f t="shared" si="13"/>
        <v>2913522.5726123308</v>
      </c>
      <c r="F94" s="338">
        <f t="shared" si="14"/>
        <v>960541.71468165412</v>
      </c>
      <c r="G94" s="221">
        <f t="shared" si="15"/>
        <v>23.266145985401458</v>
      </c>
      <c r="H94" s="220">
        <f t="shared" si="16"/>
        <v>1488661.1684880524</v>
      </c>
      <c r="I94" s="221">
        <f t="shared" si="17"/>
        <v>23.266145985401458</v>
      </c>
      <c r="J94" s="220">
        <f t="shared" si="18"/>
        <v>823412.21444840578</v>
      </c>
      <c r="K94" s="221">
        <f t="shared" si="19"/>
        <v>7.0519070796460177</v>
      </c>
      <c r="L94" s="338">
        <f t="shared" si="20"/>
        <v>451209.24797093624</v>
      </c>
      <c r="M94" s="27">
        <f t="shared" si="11"/>
        <v>6637346.9182013785</v>
      </c>
    </row>
    <row r="95" spans="1:13" ht="15.75" thickBot="1" x14ac:dyDescent="0.3">
      <c r="A95" s="687" t="s">
        <v>312</v>
      </c>
      <c r="B95" s="223">
        <v>721122.25</v>
      </c>
      <c r="C95" s="224">
        <f t="shared" ref="C95:M95" si="21">SUM(C14:C94)</f>
        <v>45241.326238311362</v>
      </c>
      <c r="D95" s="225">
        <f>SUM(D14:D94)</f>
        <v>2060.349285714286</v>
      </c>
      <c r="E95" s="226">
        <f t="shared" si="21"/>
        <v>131829396.1144003</v>
      </c>
      <c r="F95" s="339">
        <f>SUM(F14:F94)</f>
        <v>43462039.86181435</v>
      </c>
      <c r="G95" s="227">
        <f>SUM(G14:G94)</f>
        <v>1052.7332116788316</v>
      </c>
      <c r="H95" s="226">
        <f t="shared" si="21"/>
        <v>67358085.605897948</v>
      </c>
      <c r="I95" s="227">
        <f>SUM(I14:I94)</f>
        <v>1052.7332116788316</v>
      </c>
      <c r="J95" s="226">
        <f>SUM(J14:J94)</f>
        <v>37257282.989445336</v>
      </c>
      <c r="K95" s="227">
        <f>SUM(K14:K94)</f>
        <v>319.08064159292053</v>
      </c>
      <c r="L95" s="339">
        <f t="shared" si="21"/>
        <v>20416056.920371726</v>
      </c>
      <c r="M95" s="21">
        <f t="shared" si="21"/>
        <v>300322861.49192965</v>
      </c>
    </row>
    <row r="96" spans="1:13" x14ac:dyDescent="0.25">
      <c r="L96" s="251"/>
    </row>
  </sheetData>
  <mergeCells count="2">
    <mergeCell ref="D11:L11"/>
    <mergeCell ref="M11:M12"/>
  </mergeCells>
  <printOptions horizontalCentered="1"/>
  <pageMargins left="0.5" right="0.5" top="0.5" bottom="0.5" header="0.3" footer="0.3"/>
  <pageSetup scale="66" fitToHeight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pageSetUpPr fitToPage="1"/>
  </sheetPr>
  <dimension ref="A1:M97"/>
  <sheetViews>
    <sheetView zoomScaleNormal="100" workbookViewId="0">
      <selection activeCell="E4" sqref="E4"/>
    </sheetView>
  </sheetViews>
  <sheetFormatPr defaultRowHeight="15" x14ac:dyDescent="0.25"/>
  <cols>
    <col min="1" max="1" width="20.42578125" style="1" customWidth="1"/>
    <col min="2" max="2" width="10.28515625" style="1" bestFit="1" customWidth="1"/>
    <col min="3" max="3" width="15" style="1" bestFit="1" customWidth="1"/>
    <col min="4" max="4" width="11.7109375" style="1" bestFit="1" customWidth="1"/>
    <col min="5" max="5" width="12.42578125" style="1" customWidth="1"/>
    <col min="6" max="6" width="13.42578125" style="1" customWidth="1"/>
    <col min="7" max="7" width="14.28515625" style="1" customWidth="1"/>
    <col min="8" max="8" width="14.140625" style="1" customWidth="1"/>
    <col min="9" max="9" width="16" style="1" customWidth="1"/>
    <col min="10" max="10" width="11.140625" style="1" bestFit="1" customWidth="1"/>
    <col min="11" max="11" width="3.85546875" style="1" customWidth="1"/>
    <col min="12" max="12" width="15" style="1" customWidth="1"/>
    <col min="13" max="13" width="11.140625" style="1" bestFit="1" customWidth="1"/>
    <col min="14" max="14" width="3.85546875" style="1" customWidth="1"/>
    <col min="15" max="15" width="15.28515625" style="1" customWidth="1"/>
    <col min="16" max="16" width="11.140625" style="1" bestFit="1" customWidth="1"/>
    <col min="17" max="17" width="3.85546875" style="1" customWidth="1"/>
    <col min="18" max="18" width="15.5703125" style="1" customWidth="1"/>
    <col min="19" max="19" width="11.140625" style="1" bestFit="1" customWidth="1"/>
    <col min="20" max="16384" width="9.140625" style="1"/>
  </cols>
  <sheetData>
    <row r="1" spans="1:13" ht="23.25" x14ac:dyDescent="0.35">
      <c r="A1" s="207" t="s">
        <v>227</v>
      </c>
      <c r="B1" s="208"/>
      <c r="C1" s="208"/>
      <c r="D1" s="209"/>
      <c r="E1" s="209"/>
      <c r="F1" s="209"/>
      <c r="G1" s="209"/>
      <c r="H1" s="24"/>
    </row>
    <row r="2" spans="1:13" ht="15.75" thickBot="1" x14ac:dyDescent="0.3">
      <c r="H2" s="24"/>
    </row>
    <row r="3" spans="1:13" x14ac:dyDescent="0.25">
      <c r="A3" s="637" t="s">
        <v>149</v>
      </c>
      <c r="B3" s="42"/>
      <c r="C3" s="637" t="s">
        <v>618</v>
      </c>
      <c r="D3" s="42"/>
      <c r="E3" s="592"/>
      <c r="F3" s="592"/>
      <c r="H3" s="24"/>
    </row>
    <row r="4" spans="1:13" x14ac:dyDescent="0.25">
      <c r="A4" s="212" t="s">
        <v>95</v>
      </c>
      <c r="B4" s="43">
        <f>Amounts!C42</f>
        <v>44586</v>
      </c>
      <c r="C4" s="212" t="s">
        <v>95</v>
      </c>
      <c r="D4" s="43">
        <f>Amounts!C43</f>
        <v>44586</v>
      </c>
      <c r="E4" s="214"/>
      <c r="F4" s="214"/>
      <c r="G4" s="214"/>
      <c r="H4" s="24"/>
    </row>
    <row r="5" spans="1:13" ht="26.25" x14ac:dyDescent="0.25">
      <c r="A5" s="212" t="s">
        <v>138</v>
      </c>
      <c r="B5" s="43">
        <f>B4*G9</f>
        <v>12600.0036</v>
      </c>
      <c r="C5" s="212" t="s">
        <v>138</v>
      </c>
      <c r="D5" s="43">
        <f>D4*G9</f>
        <v>12600.0036</v>
      </c>
      <c r="E5" s="214"/>
      <c r="F5" s="214"/>
      <c r="G5" s="214"/>
      <c r="H5" s="24"/>
    </row>
    <row r="6" spans="1:13" ht="15.75" thickBot="1" x14ac:dyDescent="0.3">
      <c r="A6" s="213" t="s">
        <v>98</v>
      </c>
      <c r="B6" s="44">
        <f>Amounts!B6</f>
        <v>6798</v>
      </c>
      <c r="C6" s="213" t="s">
        <v>98</v>
      </c>
      <c r="D6" s="44">
        <f>Amounts!B6</f>
        <v>6798</v>
      </c>
      <c r="E6" s="214"/>
      <c r="F6" s="214"/>
      <c r="G6" s="214"/>
      <c r="H6" s="24"/>
    </row>
    <row r="7" spans="1:13" ht="15.75" thickBot="1" x14ac:dyDescent="0.3">
      <c r="A7" s="592"/>
      <c r="B7" s="592"/>
      <c r="C7" s="592"/>
      <c r="D7" s="214"/>
      <c r="E7" s="592"/>
      <c r="F7" s="592"/>
    </row>
    <row r="8" spans="1:13" ht="24.75" x14ac:dyDescent="0.25">
      <c r="A8" s="681" t="s">
        <v>150</v>
      </c>
      <c r="B8" s="215">
        <f>Amounts!E42</f>
        <v>1</v>
      </c>
      <c r="C8" s="681" t="s">
        <v>612</v>
      </c>
      <c r="D8" s="215">
        <v>1</v>
      </c>
      <c r="E8" s="253"/>
      <c r="F8" s="682"/>
      <c r="G8" s="24"/>
      <c r="H8" s="242"/>
    </row>
    <row r="9" spans="1:13" ht="15.75" thickBot="1" x14ac:dyDescent="0.3">
      <c r="A9" s="683" t="s">
        <v>606</v>
      </c>
      <c r="B9" s="216">
        <f>Amounts!G42</f>
        <v>600</v>
      </c>
      <c r="C9" s="683" t="s">
        <v>606</v>
      </c>
      <c r="D9" s="216">
        <f>Amounts!G43</f>
        <v>3180</v>
      </c>
      <c r="E9" s="648" t="s">
        <v>137</v>
      </c>
      <c r="F9" s="592"/>
      <c r="G9" s="590">
        <f>Amounts!B9</f>
        <v>0.28260000000000002</v>
      </c>
      <c r="H9" s="243"/>
    </row>
    <row r="10" spans="1:13" ht="15.75" thickBot="1" x14ac:dyDescent="0.3">
      <c r="C10" s="218"/>
      <c r="H10" s="24"/>
    </row>
    <row r="11" spans="1:13" ht="15.75" thickBot="1" x14ac:dyDescent="0.3">
      <c r="B11" s="24"/>
      <c r="C11" s="839" t="s">
        <v>575</v>
      </c>
      <c r="D11" s="840"/>
      <c r="E11" s="840"/>
      <c r="F11" s="841"/>
      <c r="G11" s="884" t="s">
        <v>148</v>
      </c>
      <c r="I11" s="244"/>
    </row>
    <row r="12" spans="1:13" ht="30" x14ac:dyDescent="0.25">
      <c r="A12" s="811" t="s">
        <v>0</v>
      </c>
      <c r="B12" s="718" t="s">
        <v>86</v>
      </c>
      <c r="C12" s="719" t="s">
        <v>149</v>
      </c>
      <c r="D12" s="719" t="s">
        <v>616</v>
      </c>
      <c r="E12" s="719" t="s">
        <v>611</v>
      </c>
      <c r="F12" s="719" t="s">
        <v>617</v>
      </c>
      <c r="G12" s="885"/>
      <c r="I12" s="24"/>
      <c r="J12" s="24"/>
      <c r="K12" s="24"/>
      <c r="L12" s="24"/>
      <c r="M12" s="24"/>
    </row>
    <row r="13" spans="1:13" x14ac:dyDescent="0.25">
      <c r="A13" s="812" t="s">
        <v>715</v>
      </c>
      <c r="B13" s="720" t="s">
        <v>716</v>
      </c>
      <c r="C13" s="721" t="s">
        <v>717</v>
      </c>
      <c r="D13" s="721" t="s">
        <v>718</v>
      </c>
      <c r="E13" s="722" t="s">
        <v>719</v>
      </c>
      <c r="F13" s="721" t="s">
        <v>720</v>
      </c>
      <c r="G13" s="723" t="s">
        <v>721</v>
      </c>
      <c r="I13" s="24"/>
      <c r="J13" s="24"/>
      <c r="K13" s="24"/>
      <c r="L13" s="24"/>
      <c r="M13" s="24"/>
    </row>
    <row r="14" spans="1:13" x14ac:dyDescent="0.25">
      <c r="A14" s="41" t="s">
        <v>4</v>
      </c>
      <c r="B14" s="219">
        <v>2915.96</v>
      </c>
      <c r="C14" s="349">
        <f t="shared" ref="C14:C45" si="0">$B$8*(B14/$B$9)</f>
        <v>4.8599333333333332</v>
      </c>
      <c r="D14" s="295">
        <f>C14*SUM($B$4:$B$6)</f>
        <v>310957.99189576</v>
      </c>
      <c r="E14" s="366">
        <f t="shared" ref="E14:E45" si="1">$D$8*(B14/$D$9)</f>
        <v>0.91696855345911954</v>
      </c>
      <c r="F14" s="295">
        <f>E14*SUM($D$4:$D$6)</f>
        <v>58671.319225615094</v>
      </c>
      <c r="G14" s="27">
        <f>D14+F14</f>
        <v>369629.31112137507</v>
      </c>
      <c r="H14" s="254"/>
      <c r="I14" s="24"/>
      <c r="J14" s="244"/>
      <c r="K14" s="244"/>
      <c r="L14" s="244"/>
      <c r="M14" s="24"/>
    </row>
    <row r="15" spans="1:13" x14ac:dyDescent="0.25">
      <c r="A15" s="41" t="s">
        <v>5</v>
      </c>
      <c r="B15" s="219">
        <v>23246.81</v>
      </c>
      <c r="C15" s="349">
        <f t="shared" si="0"/>
        <v>38.744683333333334</v>
      </c>
      <c r="D15" s="295">
        <f t="shared" ref="D15:D78" si="2">C15*SUM($B$4:$B$6)</f>
        <v>2479039.9578808597</v>
      </c>
      <c r="E15" s="366">
        <f t="shared" si="1"/>
        <v>7.3103176100628939</v>
      </c>
      <c r="F15" s="295">
        <f t="shared" ref="F15:F78" si="3">E15*SUM($D$4:$D$6)</f>
        <v>467743.38827940758</v>
      </c>
      <c r="G15" s="27">
        <f t="shared" ref="G15:G78" si="4">D15+F15</f>
        <v>2946783.3461602675</v>
      </c>
      <c r="H15" s="254"/>
      <c r="I15" s="24"/>
      <c r="J15" s="24"/>
      <c r="K15" s="24"/>
      <c r="L15" s="24"/>
      <c r="M15" s="24"/>
    </row>
    <row r="16" spans="1:13" x14ac:dyDescent="0.25">
      <c r="A16" s="41" t="s">
        <v>6</v>
      </c>
      <c r="B16" s="219">
        <v>1028.55</v>
      </c>
      <c r="C16" s="349">
        <f t="shared" si="0"/>
        <v>1.7142499999999998</v>
      </c>
      <c r="D16" s="295">
        <f t="shared" si="2"/>
        <v>109684.57817129999</v>
      </c>
      <c r="E16" s="366">
        <f t="shared" si="1"/>
        <v>0.3234433962264151</v>
      </c>
      <c r="F16" s="295">
        <f t="shared" si="3"/>
        <v>20695.203428547171</v>
      </c>
      <c r="G16" s="27">
        <f t="shared" si="4"/>
        <v>130379.78159984716</v>
      </c>
      <c r="H16" s="254"/>
      <c r="I16" s="24"/>
      <c r="J16" s="24"/>
      <c r="K16" s="24"/>
      <c r="L16" s="24"/>
      <c r="M16" s="24"/>
    </row>
    <row r="17" spans="1:13" x14ac:dyDescent="0.25">
      <c r="A17" s="41" t="s">
        <v>7</v>
      </c>
      <c r="B17" s="219">
        <v>9875.19</v>
      </c>
      <c r="C17" s="349">
        <f t="shared" si="0"/>
        <v>16.458650000000002</v>
      </c>
      <c r="D17" s="295">
        <f t="shared" si="2"/>
        <v>1053090.3208511402</v>
      </c>
      <c r="E17" s="366">
        <f t="shared" si="1"/>
        <v>3.1054056603773588</v>
      </c>
      <c r="F17" s="295">
        <f t="shared" si="3"/>
        <v>198696.28695304529</v>
      </c>
      <c r="G17" s="27">
        <f t="shared" si="4"/>
        <v>1251786.6078041855</v>
      </c>
      <c r="H17" s="254"/>
      <c r="I17" s="24"/>
      <c r="J17" s="24"/>
      <c r="K17" s="24"/>
      <c r="L17" s="24"/>
      <c r="M17" s="24"/>
    </row>
    <row r="18" spans="1:13" x14ac:dyDescent="0.25">
      <c r="A18" s="41" t="s">
        <v>8</v>
      </c>
      <c r="B18" s="219">
        <v>3618.89</v>
      </c>
      <c r="C18" s="349">
        <f t="shared" si="0"/>
        <v>6.0314833333333331</v>
      </c>
      <c r="D18" s="295">
        <f t="shared" si="2"/>
        <v>385918.45131333999</v>
      </c>
      <c r="E18" s="366">
        <f t="shared" si="1"/>
        <v>1.1380157232704402</v>
      </c>
      <c r="F18" s="295">
        <f t="shared" si="3"/>
        <v>72814.80213459245</v>
      </c>
      <c r="G18" s="27">
        <f t="shared" si="4"/>
        <v>458733.25344793242</v>
      </c>
      <c r="H18" s="254"/>
      <c r="I18" s="24"/>
      <c r="J18" s="24"/>
      <c r="K18" s="24"/>
      <c r="L18" s="24"/>
      <c r="M18" s="24"/>
    </row>
    <row r="19" spans="1:13" x14ac:dyDescent="0.25">
      <c r="A19" s="41" t="s">
        <v>9</v>
      </c>
      <c r="B19" s="219">
        <v>2479.0500000000002</v>
      </c>
      <c r="C19" s="349">
        <f t="shared" si="0"/>
        <v>4.1317500000000003</v>
      </c>
      <c r="D19" s="295">
        <f t="shared" si="2"/>
        <v>264365.90687429998</v>
      </c>
      <c r="E19" s="366">
        <f t="shared" si="1"/>
        <v>0.77957547169811325</v>
      </c>
      <c r="F19" s="295">
        <f t="shared" si="3"/>
        <v>49880.359787603775</v>
      </c>
      <c r="G19" s="27">
        <f t="shared" si="4"/>
        <v>314246.26666190376</v>
      </c>
      <c r="H19" s="254"/>
    </row>
    <row r="20" spans="1:13" x14ac:dyDescent="0.25">
      <c r="A20" s="41" t="s">
        <v>10</v>
      </c>
      <c r="B20" s="219">
        <v>2744.29</v>
      </c>
      <c r="C20" s="349">
        <f t="shared" si="0"/>
        <v>4.5738166666666666</v>
      </c>
      <c r="D20" s="295">
        <f t="shared" si="2"/>
        <v>292651.10206573998</v>
      </c>
      <c r="E20" s="366">
        <f t="shared" si="1"/>
        <v>0.86298427672955969</v>
      </c>
      <c r="F20" s="295">
        <f t="shared" si="3"/>
        <v>55217.189069007538</v>
      </c>
      <c r="G20" s="27">
        <f t="shared" si="4"/>
        <v>347868.2911347475</v>
      </c>
      <c r="H20" s="254"/>
    </row>
    <row r="21" spans="1:13" x14ac:dyDescent="0.25">
      <c r="A21" s="41" t="s">
        <v>11</v>
      </c>
      <c r="B21" s="219">
        <v>12671.61</v>
      </c>
      <c r="C21" s="349">
        <f t="shared" si="0"/>
        <v>21.119350000000001</v>
      </c>
      <c r="D21" s="295">
        <f t="shared" si="2"/>
        <v>1351300.56642966</v>
      </c>
      <c r="E21" s="366">
        <f t="shared" si="1"/>
        <v>3.9847830188679247</v>
      </c>
      <c r="F21" s="295">
        <f t="shared" si="3"/>
        <v>254962.37102446414</v>
      </c>
      <c r="G21" s="27">
        <f t="shared" si="4"/>
        <v>1606262.937454124</v>
      </c>
      <c r="H21" s="254"/>
    </row>
    <row r="22" spans="1:13" x14ac:dyDescent="0.25">
      <c r="A22" s="41" t="s">
        <v>12</v>
      </c>
      <c r="B22" s="219">
        <v>1256.76</v>
      </c>
      <c r="C22" s="349">
        <f t="shared" si="0"/>
        <v>2.0945999999999998</v>
      </c>
      <c r="D22" s="295">
        <f t="shared" si="2"/>
        <v>134020.89394055997</v>
      </c>
      <c r="E22" s="366">
        <f t="shared" si="1"/>
        <v>0.39520754716981132</v>
      </c>
      <c r="F22" s="295">
        <f t="shared" si="3"/>
        <v>25286.961120860375</v>
      </c>
      <c r="G22" s="27">
        <f t="shared" si="4"/>
        <v>159307.85506142036</v>
      </c>
      <c r="H22" s="254"/>
    </row>
    <row r="23" spans="1:13" x14ac:dyDescent="0.25">
      <c r="A23" s="41" t="s">
        <v>13</v>
      </c>
      <c r="B23" s="219">
        <v>638.25</v>
      </c>
      <c r="C23" s="349">
        <f t="shared" si="0"/>
        <v>1.06375</v>
      </c>
      <c r="D23" s="295">
        <f t="shared" si="2"/>
        <v>68062.983829499994</v>
      </c>
      <c r="E23" s="366">
        <f t="shared" si="1"/>
        <v>0.20070754716981132</v>
      </c>
      <c r="F23" s="295">
        <f t="shared" si="3"/>
        <v>12842.072420660377</v>
      </c>
      <c r="G23" s="27">
        <f t="shared" si="4"/>
        <v>80905.056250160371</v>
      </c>
      <c r="H23" s="254"/>
    </row>
    <row r="24" spans="1:13" x14ac:dyDescent="0.25">
      <c r="A24" s="41" t="s">
        <v>14</v>
      </c>
      <c r="B24" s="219">
        <v>587.14</v>
      </c>
      <c r="C24" s="349">
        <f t="shared" si="0"/>
        <v>0.9785666666666667</v>
      </c>
      <c r="D24" s="295">
        <f t="shared" si="2"/>
        <v>62612.613122839997</v>
      </c>
      <c r="E24" s="366">
        <f t="shared" si="1"/>
        <v>0.18463522012578615</v>
      </c>
      <c r="F24" s="295">
        <f t="shared" si="3"/>
        <v>11813.700589215092</v>
      </c>
      <c r="G24" s="27">
        <f t="shared" si="4"/>
        <v>74426.313712055096</v>
      </c>
      <c r="H24" s="254"/>
    </row>
    <row r="25" spans="1:13" x14ac:dyDescent="0.25">
      <c r="A25" s="41" t="s">
        <v>15</v>
      </c>
      <c r="B25" s="219">
        <v>822.79</v>
      </c>
      <c r="C25" s="349">
        <f t="shared" si="0"/>
        <v>1.3713166666666665</v>
      </c>
      <c r="D25" s="295">
        <f t="shared" si="2"/>
        <v>87742.330536739988</v>
      </c>
      <c r="E25" s="366">
        <f t="shared" si="1"/>
        <v>0.25873899371069181</v>
      </c>
      <c r="F25" s="295">
        <f t="shared" si="3"/>
        <v>16555.15670504528</v>
      </c>
      <c r="G25" s="27">
        <f t="shared" si="4"/>
        <v>104297.48724178527</v>
      </c>
      <c r="H25" s="254"/>
    </row>
    <row r="26" spans="1:13" x14ac:dyDescent="0.25">
      <c r="A26" s="41" t="s">
        <v>16</v>
      </c>
      <c r="B26" s="219">
        <v>2117.3200000000002</v>
      </c>
      <c r="C26" s="349">
        <f t="shared" si="0"/>
        <v>3.528866666666667</v>
      </c>
      <c r="D26" s="295">
        <f t="shared" si="2"/>
        <v>225791.01750392001</v>
      </c>
      <c r="E26" s="366">
        <f t="shared" si="1"/>
        <v>0.66582389937106923</v>
      </c>
      <c r="F26" s="295">
        <f t="shared" si="3"/>
        <v>42602.078774324531</v>
      </c>
      <c r="G26" s="27">
        <f t="shared" si="4"/>
        <v>268393.09627824451</v>
      </c>
      <c r="H26" s="254"/>
    </row>
    <row r="27" spans="1:13" x14ac:dyDescent="0.25">
      <c r="A27" s="41" t="s">
        <v>17</v>
      </c>
      <c r="B27" s="219">
        <v>21287.25</v>
      </c>
      <c r="C27" s="349">
        <f t="shared" si="0"/>
        <v>35.478749999999998</v>
      </c>
      <c r="D27" s="295">
        <f t="shared" si="2"/>
        <v>2270072.4677234995</v>
      </c>
      <c r="E27" s="366">
        <f t="shared" si="1"/>
        <v>6.6941037735849056</v>
      </c>
      <c r="F27" s="295">
        <f t="shared" si="3"/>
        <v>428315.55994783016</v>
      </c>
      <c r="G27" s="27">
        <f t="shared" si="4"/>
        <v>2698388.0276713297</v>
      </c>
      <c r="H27" s="254"/>
    </row>
    <row r="28" spans="1:13" x14ac:dyDescent="0.25">
      <c r="A28" s="41" t="s">
        <v>18</v>
      </c>
      <c r="B28" s="219">
        <v>34520.18</v>
      </c>
      <c r="C28" s="349">
        <f t="shared" si="0"/>
        <v>57.533633333333334</v>
      </c>
      <c r="D28" s="295">
        <f t="shared" si="2"/>
        <v>3681232.20232108</v>
      </c>
      <c r="E28" s="366">
        <f t="shared" si="1"/>
        <v>10.85540251572327</v>
      </c>
      <c r="F28" s="295">
        <f t="shared" si="3"/>
        <v>694572.11364548677</v>
      </c>
      <c r="G28" s="27">
        <f t="shared" si="4"/>
        <v>4375804.315966567</v>
      </c>
      <c r="H28" s="254"/>
    </row>
    <row r="29" spans="1:13" x14ac:dyDescent="0.25">
      <c r="A29" s="41" t="s">
        <v>19</v>
      </c>
      <c r="B29" s="219">
        <v>1587.18</v>
      </c>
      <c r="C29" s="349">
        <f t="shared" si="0"/>
        <v>2.6453000000000002</v>
      </c>
      <c r="D29" s="295">
        <f t="shared" si="2"/>
        <v>169256.88472308</v>
      </c>
      <c r="E29" s="366">
        <f t="shared" si="1"/>
        <v>0.49911320754716981</v>
      </c>
      <c r="F29" s="295">
        <f t="shared" si="3"/>
        <v>31935.261268505659</v>
      </c>
      <c r="G29" s="27">
        <f t="shared" si="4"/>
        <v>201192.14599158565</v>
      </c>
      <c r="H29" s="254"/>
    </row>
    <row r="30" spans="1:13" x14ac:dyDescent="0.25">
      <c r="A30" s="41" t="s">
        <v>20</v>
      </c>
      <c r="B30" s="219">
        <v>46485.36</v>
      </c>
      <c r="C30" s="349">
        <f t="shared" si="0"/>
        <v>77.4756</v>
      </c>
      <c r="D30" s="295">
        <f t="shared" si="2"/>
        <v>4957199.0693121599</v>
      </c>
      <c r="E30" s="366">
        <f t="shared" si="1"/>
        <v>14.618037735849057</v>
      </c>
      <c r="F30" s="295">
        <f t="shared" si="3"/>
        <v>935320.57911550184</v>
      </c>
      <c r="G30" s="27">
        <f t="shared" si="4"/>
        <v>5892519.6484276615</v>
      </c>
      <c r="H30" s="254"/>
    </row>
    <row r="31" spans="1:13" x14ac:dyDescent="0.25">
      <c r="A31" s="41" t="s">
        <v>21</v>
      </c>
      <c r="B31" s="219">
        <v>8259.2199999999993</v>
      </c>
      <c r="C31" s="349">
        <f t="shared" si="0"/>
        <v>13.765366666666665</v>
      </c>
      <c r="D31" s="295">
        <f t="shared" si="2"/>
        <v>880763.27035531984</v>
      </c>
      <c r="E31" s="366">
        <f t="shared" si="1"/>
        <v>2.5972389937106914</v>
      </c>
      <c r="F31" s="295">
        <f t="shared" si="3"/>
        <v>166181.74912364525</v>
      </c>
      <c r="G31" s="27">
        <f t="shared" si="4"/>
        <v>1046945.0194789651</v>
      </c>
      <c r="H31" s="254"/>
    </row>
    <row r="32" spans="1:13" x14ac:dyDescent="0.25">
      <c r="A32" s="41" t="s">
        <v>22</v>
      </c>
      <c r="B32" s="219">
        <v>4970.04</v>
      </c>
      <c r="C32" s="349">
        <f t="shared" si="0"/>
        <v>8.2834000000000003</v>
      </c>
      <c r="D32" s="295">
        <f t="shared" si="2"/>
        <v>530005.09542023996</v>
      </c>
      <c r="E32" s="366">
        <f t="shared" si="1"/>
        <v>1.5629056603773586</v>
      </c>
      <c r="F32" s="295">
        <f t="shared" si="3"/>
        <v>100000.96140004529</v>
      </c>
      <c r="G32" s="27">
        <f t="shared" si="4"/>
        <v>630006.05682028527</v>
      </c>
      <c r="H32" s="254"/>
    </row>
    <row r="33" spans="1:8" x14ac:dyDescent="0.25">
      <c r="A33" s="41" t="s">
        <v>23</v>
      </c>
      <c r="B33" s="219">
        <v>6691.02</v>
      </c>
      <c r="C33" s="349">
        <f t="shared" si="0"/>
        <v>11.1517</v>
      </c>
      <c r="D33" s="295">
        <f t="shared" si="2"/>
        <v>713530.4129461199</v>
      </c>
      <c r="E33" s="366">
        <f t="shared" si="1"/>
        <v>2.1040943396226415</v>
      </c>
      <c r="F33" s="295">
        <f t="shared" si="3"/>
        <v>134628.37980115472</v>
      </c>
      <c r="G33" s="27">
        <f t="shared" si="4"/>
        <v>848158.79274727462</v>
      </c>
      <c r="H33" s="254"/>
    </row>
    <row r="34" spans="1:8" x14ac:dyDescent="0.25">
      <c r="A34" s="41" t="s">
        <v>24</v>
      </c>
      <c r="B34" s="219">
        <v>710.4</v>
      </c>
      <c r="C34" s="349">
        <f t="shared" si="0"/>
        <v>1.1839999999999999</v>
      </c>
      <c r="D34" s="295">
        <f t="shared" si="2"/>
        <v>75757.060262399988</v>
      </c>
      <c r="E34" s="366">
        <f t="shared" si="1"/>
        <v>0.22339622641509432</v>
      </c>
      <c r="F34" s="295">
        <f t="shared" si="3"/>
        <v>14293.784955169809</v>
      </c>
      <c r="G34" s="27">
        <f t="shared" si="4"/>
        <v>90050.845217569789</v>
      </c>
      <c r="H34" s="254"/>
    </row>
    <row r="35" spans="1:8" x14ac:dyDescent="0.25">
      <c r="A35" s="41" t="s">
        <v>25</v>
      </c>
      <c r="B35" s="219">
        <v>2753.54</v>
      </c>
      <c r="C35" s="349">
        <f t="shared" si="0"/>
        <v>4.5892333333333335</v>
      </c>
      <c r="D35" s="295">
        <f t="shared" si="2"/>
        <v>293637.52212123998</v>
      </c>
      <c r="E35" s="366">
        <f t="shared" si="1"/>
        <v>0.86589308176100632</v>
      </c>
      <c r="F35" s="295">
        <f t="shared" si="3"/>
        <v>55403.306060611321</v>
      </c>
      <c r="G35" s="27">
        <f t="shared" si="4"/>
        <v>349040.82818185131</v>
      </c>
      <c r="H35" s="254"/>
    </row>
    <row r="36" spans="1:8" x14ac:dyDescent="0.25">
      <c r="A36" s="41" t="s">
        <v>26</v>
      </c>
      <c r="B36" s="219">
        <v>1253.3399999999999</v>
      </c>
      <c r="C36" s="349">
        <f t="shared" si="0"/>
        <v>2.0888999999999998</v>
      </c>
      <c r="D36" s="295">
        <f t="shared" si="2"/>
        <v>133656.18512003997</v>
      </c>
      <c r="E36" s="366">
        <f t="shared" si="1"/>
        <v>0.3941320754716981</v>
      </c>
      <c r="F36" s="295">
        <f t="shared" si="3"/>
        <v>25218.148135856602</v>
      </c>
      <c r="G36" s="27">
        <f t="shared" si="4"/>
        <v>158874.33325589658</v>
      </c>
      <c r="H36" s="254"/>
    </row>
    <row r="37" spans="1:8" x14ac:dyDescent="0.25">
      <c r="A37" s="41" t="s">
        <v>27</v>
      </c>
      <c r="B37" s="219">
        <v>5263.6</v>
      </c>
      <c r="C37" s="349">
        <f t="shared" si="0"/>
        <v>8.7726666666666677</v>
      </c>
      <c r="D37" s="295">
        <f t="shared" si="2"/>
        <v>561310.33558160008</v>
      </c>
      <c r="E37" s="366">
        <f t="shared" si="1"/>
        <v>1.6552201257861636</v>
      </c>
      <c r="F37" s="295">
        <f t="shared" si="3"/>
        <v>105907.61048709434</v>
      </c>
      <c r="G37" s="27">
        <f t="shared" si="4"/>
        <v>667217.94606869447</v>
      </c>
      <c r="H37" s="254"/>
    </row>
    <row r="38" spans="1:8" x14ac:dyDescent="0.25">
      <c r="A38" s="41" t="s">
        <v>28</v>
      </c>
      <c r="B38" s="219">
        <v>9606.7099999999991</v>
      </c>
      <c r="C38" s="349">
        <f t="shared" si="0"/>
        <v>16.011183333333332</v>
      </c>
      <c r="D38" s="295">
        <f t="shared" si="2"/>
        <v>1024459.6120402599</v>
      </c>
      <c r="E38" s="366">
        <f t="shared" si="1"/>
        <v>3.0209779874213836</v>
      </c>
      <c r="F38" s="295">
        <f t="shared" si="3"/>
        <v>193294.26642269056</v>
      </c>
      <c r="G38" s="27">
        <f t="shared" si="4"/>
        <v>1217753.8784629505</v>
      </c>
      <c r="H38" s="254"/>
    </row>
    <row r="39" spans="1:8" x14ac:dyDescent="0.25">
      <c r="A39" s="41" t="s">
        <v>29</v>
      </c>
      <c r="B39" s="219">
        <v>1528.03</v>
      </c>
      <c r="C39" s="349">
        <f t="shared" si="0"/>
        <v>2.5467166666666667</v>
      </c>
      <c r="D39" s="295">
        <f t="shared" si="2"/>
        <v>162949.12836817998</v>
      </c>
      <c r="E39" s="366">
        <f t="shared" si="1"/>
        <v>0.48051257861635222</v>
      </c>
      <c r="F39" s="295">
        <f t="shared" si="3"/>
        <v>30745.118560033963</v>
      </c>
      <c r="G39" s="27">
        <f t="shared" si="4"/>
        <v>193694.24692821395</v>
      </c>
      <c r="H39" s="254"/>
    </row>
    <row r="40" spans="1:8" x14ac:dyDescent="0.25">
      <c r="A40" s="41" t="s">
        <v>30</v>
      </c>
      <c r="B40" s="219">
        <v>3982.19</v>
      </c>
      <c r="C40" s="349">
        <f t="shared" si="0"/>
        <v>6.6369833333333332</v>
      </c>
      <c r="D40" s="295">
        <f t="shared" si="2"/>
        <v>424660.76549313997</v>
      </c>
      <c r="E40" s="366">
        <f t="shared" si="1"/>
        <v>1.2522610062893083</v>
      </c>
      <c r="F40" s="295">
        <f t="shared" si="3"/>
        <v>80124.672734554711</v>
      </c>
      <c r="G40" s="27">
        <f t="shared" si="4"/>
        <v>504785.43822769471</v>
      </c>
      <c r="H40" s="254"/>
    </row>
    <row r="41" spans="1:8" x14ac:dyDescent="0.25">
      <c r="A41" s="41" t="s">
        <v>31</v>
      </c>
      <c r="B41" s="219">
        <v>25440.37</v>
      </c>
      <c r="C41" s="349">
        <f t="shared" si="0"/>
        <v>42.400616666666664</v>
      </c>
      <c r="D41" s="295">
        <f t="shared" si="2"/>
        <v>2712961.2094422197</v>
      </c>
      <c r="E41" s="366">
        <f t="shared" si="1"/>
        <v>8.0001163522012568</v>
      </c>
      <c r="F41" s="295">
        <f t="shared" si="3"/>
        <v>511879.47347966407</v>
      </c>
      <c r="G41" s="27">
        <f t="shared" si="4"/>
        <v>3224840.6829218837</v>
      </c>
      <c r="H41" s="254"/>
    </row>
    <row r="42" spans="1:8" x14ac:dyDescent="0.25">
      <c r="A42" s="41" t="s">
        <v>32</v>
      </c>
      <c r="B42" s="219">
        <v>2145.29</v>
      </c>
      <c r="C42" s="349">
        <f t="shared" si="0"/>
        <v>3.5754833333333331</v>
      </c>
      <c r="D42" s="295">
        <f t="shared" si="2"/>
        <v>228773.73847173998</v>
      </c>
      <c r="E42" s="366">
        <f t="shared" si="1"/>
        <v>0.67461949685534595</v>
      </c>
      <c r="F42" s="295">
        <f t="shared" si="3"/>
        <v>43164.856315422643</v>
      </c>
      <c r="G42" s="27">
        <f t="shared" si="4"/>
        <v>271938.59478716261</v>
      </c>
      <c r="H42" s="254"/>
    </row>
    <row r="43" spans="1:8" x14ac:dyDescent="0.25">
      <c r="A43" s="41" t="s">
        <v>33</v>
      </c>
      <c r="B43" s="219">
        <v>3224.83</v>
      </c>
      <c r="C43" s="349">
        <f t="shared" si="0"/>
        <v>5.3747166666666661</v>
      </c>
      <c r="D43" s="295">
        <f t="shared" si="2"/>
        <v>343895.89054897992</v>
      </c>
      <c r="E43" s="366">
        <f t="shared" si="1"/>
        <v>1.0140974842767296</v>
      </c>
      <c r="F43" s="295">
        <f t="shared" si="3"/>
        <v>64886.01708471321</v>
      </c>
      <c r="G43" s="27">
        <f t="shared" si="4"/>
        <v>408781.90763369313</v>
      </c>
      <c r="H43" s="254"/>
    </row>
    <row r="44" spans="1:8" x14ac:dyDescent="0.25">
      <c r="A44" s="41" t="s">
        <v>34</v>
      </c>
      <c r="B44" s="219">
        <v>2373.3200000000002</v>
      </c>
      <c r="C44" s="349">
        <f t="shared" si="0"/>
        <v>3.9555333333333338</v>
      </c>
      <c r="D44" s="295">
        <f t="shared" si="2"/>
        <v>253090.85903992</v>
      </c>
      <c r="E44" s="366">
        <f t="shared" si="1"/>
        <v>0.74632704402515726</v>
      </c>
      <c r="F44" s="295">
        <f t="shared" si="3"/>
        <v>47752.992271683019</v>
      </c>
      <c r="G44" s="27">
        <f t="shared" si="4"/>
        <v>300843.85131160304</v>
      </c>
      <c r="H44" s="254"/>
    </row>
    <row r="45" spans="1:8" x14ac:dyDescent="0.25">
      <c r="A45" s="41" t="s">
        <v>35</v>
      </c>
      <c r="B45" s="219">
        <v>15667.43</v>
      </c>
      <c r="C45" s="349">
        <f t="shared" si="0"/>
        <v>26.112383333333334</v>
      </c>
      <c r="D45" s="295">
        <f t="shared" si="2"/>
        <v>1670774.8292045798</v>
      </c>
      <c r="E45" s="366">
        <f t="shared" si="1"/>
        <v>4.9268647798742142</v>
      </c>
      <c r="F45" s="295">
        <f t="shared" si="3"/>
        <v>315240.53381218493</v>
      </c>
      <c r="G45" s="27">
        <f t="shared" si="4"/>
        <v>1986015.3630167646</v>
      </c>
      <c r="H45" s="254"/>
    </row>
    <row r="46" spans="1:8" x14ac:dyDescent="0.25">
      <c r="A46" s="41" t="s">
        <v>36</v>
      </c>
      <c r="B46" s="219">
        <v>1091.3900000000001</v>
      </c>
      <c r="C46" s="349">
        <f t="shared" ref="C46:C77" si="5">$B$8*(B46/$B$9)</f>
        <v>1.8189833333333334</v>
      </c>
      <c r="D46" s="295">
        <f t="shared" si="2"/>
        <v>116385.83614833999</v>
      </c>
      <c r="E46" s="366">
        <f t="shared" ref="E46:E77" si="6">$D$8*(B46/$D$9)</f>
        <v>0.34320440251572332</v>
      </c>
      <c r="F46" s="295">
        <f t="shared" si="3"/>
        <v>21959.591726101888</v>
      </c>
      <c r="G46" s="27">
        <f t="shared" si="4"/>
        <v>138345.42787444187</v>
      </c>
      <c r="H46" s="254"/>
    </row>
    <row r="47" spans="1:8" x14ac:dyDescent="0.25">
      <c r="A47" s="41" t="s">
        <v>37</v>
      </c>
      <c r="B47" s="219">
        <v>3269.06</v>
      </c>
      <c r="C47" s="349">
        <f t="shared" si="5"/>
        <v>5.448433333333333</v>
      </c>
      <c r="D47" s="295">
        <f t="shared" si="2"/>
        <v>348612.57801435998</v>
      </c>
      <c r="E47" s="366">
        <f t="shared" si="6"/>
        <v>1.0280062893081761</v>
      </c>
      <c r="F47" s="295">
        <f t="shared" si="3"/>
        <v>65775.958115916976</v>
      </c>
      <c r="G47" s="27">
        <f t="shared" si="4"/>
        <v>414388.53613027697</v>
      </c>
      <c r="H47" s="254"/>
    </row>
    <row r="48" spans="1:8" x14ac:dyDescent="0.25">
      <c r="A48" s="41" t="s">
        <v>38</v>
      </c>
      <c r="B48" s="219">
        <v>656.05</v>
      </c>
      <c r="C48" s="349">
        <f t="shared" si="5"/>
        <v>1.0934166666666665</v>
      </c>
      <c r="D48" s="295">
        <f t="shared" si="2"/>
        <v>69961.175936299987</v>
      </c>
      <c r="E48" s="366">
        <f t="shared" si="6"/>
        <v>0.20630503144654086</v>
      </c>
      <c r="F48" s="295">
        <f t="shared" si="3"/>
        <v>13200.221874773582</v>
      </c>
      <c r="G48" s="27">
        <f t="shared" si="4"/>
        <v>83161.397811073577</v>
      </c>
      <c r="H48" s="254"/>
    </row>
    <row r="49" spans="1:8" x14ac:dyDescent="0.25">
      <c r="A49" s="41" t="s">
        <v>39</v>
      </c>
      <c r="B49" s="219">
        <v>1181.8699999999999</v>
      </c>
      <c r="C49" s="349">
        <f t="shared" si="5"/>
        <v>1.9697833333333332</v>
      </c>
      <c r="D49" s="295">
        <f t="shared" si="2"/>
        <v>126034.62389121999</v>
      </c>
      <c r="E49" s="366">
        <f t="shared" si="6"/>
        <v>0.37165723270440248</v>
      </c>
      <c r="F49" s="295">
        <f t="shared" si="3"/>
        <v>23780.117715324526</v>
      </c>
      <c r="G49" s="27">
        <f t="shared" si="4"/>
        <v>149814.74160654453</v>
      </c>
      <c r="H49" s="254"/>
    </row>
    <row r="50" spans="1:8" x14ac:dyDescent="0.25">
      <c r="A50" s="41" t="s">
        <v>40</v>
      </c>
      <c r="B50" s="219">
        <v>8929.7900000000009</v>
      </c>
      <c r="C50" s="349">
        <f t="shared" si="5"/>
        <v>14.882983333333335</v>
      </c>
      <c r="D50" s="295">
        <f t="shared" si="2"/>
        <v>952272.85917874007</v>
      </c>
      <c r="E50" s="366">
        <f t="shared" si="6"/>
        <v>2.808110062893082</v>
      </c>
      <c r="F50" s="295">
        <f t="shared" si="3"/>
        <v>179674.12437334718</v>
      </c>
      <c r="G50" s="27">
        <f t="shared" si="4"/>
        <v>1131946.9835520873</v>
      </c>
      <c r="H50" s="254"/>
    </row>
    <row r="51" spans="1:8" x14ac:dyDescent="0.25">
      <c r="A51" s="41" t="s">
        <v>41</v>
      </c>
      <c r="B51" s="219">
        <v>74161.66</v>
      </c>
      <c r="C51" s="349">
        <f t="shared" si="5"/>
        <v>123.60276666666667</v>
      </c>
      <c r="D51" s="295">
        <f t="shared" si="2"/>
        <v>7908599.8673699601</v>
      </c>
      <c r="E51" s="366">
        <f t="shared" si="6"/>
        <v>23.321276729559749</v>
      </c>
      <c r="F51" s="295">
        <f t="shared" si="3"/>
        <v>1492188.6542207471</v>
      </c>
      <c r="G51" s="27">
        <f t="shared" si="4"/>
        <v>9400788.5215907078</v>
      </c>
      <c r="H51" s="254"/>
    </row>
    <row r="52" spans="1:8" x14ac:dyDescent="0.25">
      <c r="A52" s="41" t="s">
        <v>42</v>
      </c>
      <c r="B52" s="219">
        <v>8515.0300000000007</v>
      </c>
      <c r="C52" s="349">
        <f t="shared" si="5"/>
        <v>14.191716666666668</v>
      </c>
      <c r="D52" s="295">
        <f t="shared" si="2"/>
        <v>908042.85029018007</v>
      </c>
      <c r="E52" s="366">
        <f t="shared" si="6"/>
        <v>2.6776823899371069</v>
      </c>
      <c r="F52" s="295">
        <f t="shared" si="3"/>
        <v>171328.83967739245</v>
      </c>
      <c r="G52" s="27">
        <f t="shared" si="4"/>
        <v>1079371.6899675725</v>
      </c>
      <c r="H52" s="254"/>
    </row>
    <row r="53" spans="1:8" x14ac:dyDescent="0.25">
      <c r="A53" s="41" t="s">
        <v>43</v>
      </c>
      <c r="B53" s="219">
        <v>898.58</v>
      </c>
      <c r="C53" s="349">
        <f t="shared" si="5"/>
        <v>1.4976333333333334</v>
      </c>
      <c r="D53" s="295">
        <f t="shared" si="2"/>
        <v>95824.576591479999</v>
      </c>
      <c r="E53" s="366">
        <f t="shared" si="6"/>
        <v>0.28257232704402518</v>
      </c>
      <c r="F53" s="295">
        <f t="shared" si="3"/>
        <v>18080.108790845283</v>
      </c>
      <c r="G53" s="27">
        <f t="shared" si="4"/>
        <v>113904.68538232529</v>
      </c>
      <c r="H53" s="254"/>
    </row>
    <row r="54" spans="1:8" x14ac:dyDescent="0.25">
      <c r="A54" s="41" t="s">
        <v>44</v>
      </c>
      <c r="B54" s="219">
        <v>1516.32</v>
      </c>
      <c r="C54" s="349">
        <f t="shared" si="5"/>
        <v>2.5272000000000001</v>
      </c>
      <c r="D54" s="295">
        <f t="shared" si="2"/>
        <v>161700.37389791998</v>
      </c>
      <c r="E54" s="366">
        <f t="shared" si="6"/>
        <v>0.47683018867924526</v>
      </c>
      <c r="F54" s="295">
        <f t="shared" si="3"/>
        <v>30509.504509041508</v>
      </c>
      <c r="G54" s="27">
        <f t="shared" si="4"/>
        <v>192209.87840696151</v>
      </c>
      <c r="H54" s="254"/>
    </row>
    <row r="55" spans="1:8" x14ac:dyDescent="0.25">
      <c r="A55" s="41" t="s">
        <v>45</v>
      </c>
      <c r="B55" s="219">
        <v>2087.65</v>
      </c>
      <c r="C55" s="349">
        <f t="shared" si="5"/>
        <v>3.4794166666666668</v>
      </c>
      <c r="D55" s="295">
        <f t="shared" si="2"/>
        <v>222627.00852589999</v>
      </c>
      <c r="E55" s="366">
        <f t="shared" si="6"/>
        <v>0.65649371069182394</v>
      </c>
      <c r="F55" s="295">
        <f t="shared" si="3"/>
        <v>42005.095948283022</v>
      </c>
      <c r="G55" s="27">
        <f t="shared" si="4"/>
        <v>264632.104474183</v>
      </c>
      <c r="H55" s="254"/>
    </row>
    <row r="56" spans="1:8" x14ac:dyDescent="0.25">
      <c r="A56" s="41" t="s">
        <v>46</v>
      </c>
      <c r="B56" s="219">
        <v>662.1</v>
      </c>
      <c r="C56" s="349">
        <f t="shared" si="5"/>
        <v>1.1035000000000001</v>
      </c>
      <c r="D56" s="295">
        <f t="shared" si="2"/>
        <v>70606.347972600008</v>
      </c>
      <c r="E56" s="366">
        <f t="shared" si="6"/>
        <v>0.20820754716981132</v>
      </c>
      <c r="F56" s="295">
        <f t="shared" si="3"/>
        <v>13321.952447660376</v>
      </c>
      <c r="G56" s="27">
        <f t="shared" si="4"/>
        <v>83928.300420260377</v>
      </c>
      <c r="H56" s="254"/>
    </row>
    <row r="57" spans="1:8" x14ac:dyDescent="0.25">
      <c r="A57" s="41" t="s">
        <v>47</v>
      </c>
      <c r="B57" s="219">
        <v>43529.94</v>
      </c>
      <c r="C57" s="349">
        <f t="shared" si="5"/>
        <v>72.549900000000008</v>
      </c>
      <c r="D57" s="295">
        <f t="shared" si="2"/>
        <v>4642033.0627796398</v>
      </c>
      <c r="E57" s="366">
        <f t="shared" si="6"/>
        <v>13.688660377358492</v>
      </c>
      <c r="F57" s="295">
        <f t="shared" si="3"/>
        <v>875855.29486408306</v>
      </c>
      <c r="G57" s="27">
        <f t="shared" si="4"/>
        <v>5517888.3576437226</v>
      </c>
      <c r="H57" s="254"/>
    </row>
    <row r="58" spans="1:8" x14ac:dyDescent="0.25">
      <c r="A58" s="41" t="s">
        <v>48</v>
      </c>
      <c r="B58" s="219">
        <v>2404.8000000000002</v>
      </c>
      <c r="C58" s="349">
        <f t="shared" si="5"/>
        <v>4.008</v>
      </c>
      <c r="D58" s="295">
        <f t="shared" si="2"/>
        <v>256447.88642879997</v>
      </c>
      <c r="E58" s="366">
        <f t="shared" si="6"/>
        <v>0.75622641509433963</v>
      </c>
      <c r="F58" s="295">
        <f t="shared" si="3"/>
        <v>48386.393665811316</v>
      </c>
      <c r="G58" s="27">
        <f t="shared" si="4"/>
        <v>304834.28009461128</v>
      </c>
      <c r="H58" s="254"/>
    </row>
    <row r="59" spans="1:8" x14ac:dyDescent="0.25">
      <c r="A59" s="41" t="s">
        <v>49</v>
      </c>
      <c r="B59" s="219">
        <v>10525.82</v>
      </c>
      <c r="C59" s="349">
        <f t="shared" si="5"/>
        <v>17.543033333333334</v>
      </c>
      <c r="D59" s="295">
        <f t="shared" si="2"/>
        <v>1122473.5079549199</v>
      </c>
      <c r="E59" s="366">
        <f t="shared" si="6"/>
        <v>3.3100062893081761</v>
      </c>
      <c r="F59" s="295">
        <f t="shared" si="3"/>
        <v>211787.45433111695</v>
      </c>
      <c r="G59" s="27">
        <f t="shared" si="4"/>
        <v>1334260.9622860369</v>
      </c>
      <c r="H59" s="254"/>
    </row>
    <row r="60" spans="1:8" x14ac:dyDescent="0.25">
      <c r="A60" s="41" t="s">
        <v>50</v>
      </c>
      <c r="B60" s="219">
        <v>13258.42</v>
      </c>
      <c r="C60" s="349">
        <f t="shared" si="5"/>
        <v>22.097366666666666</v>
      </c>
      <c r="D60" s="295">
        <f t="shared" si="2"/>
        <v>1413877.9883505199</v>
      </c>
      <c r="E60" s="366">
        <f t="shared" si="6"/>
        <v>4.1693144654088048</v>
      </c>
      <c r="F60" s="295">
        <f t="shared" si="3"/>
        <v>266769.43176424905</v>
      </c>
      <c r="G60" s="27">
        <f t="shared" si="4"/>
        <v>1680647.4201147689</v>
      </c>
      <c r="H60" s="254"/>
    </row>
    <row r="61" spans="1:8" x14ac:dyDescent="0.25">
      <c r="A61" s="41" t="s">
        <v>51</v>
      </c>
      <c r="B61" s="219">
        <v>5388.16</v>
      </c>
      <c r="C61" s="349">
        <f t="shared" si="5"/>
        <v>8.9802666666666671</v>
      </c>
      <c r="D61" s="295">
        <f t="shared" si="2"/>
        <v>574593.41472896002</v>
      </c>
      <c r="E61" s="366">
        <f t="shared" si="6"/>
        <v>1.6943899371069182</v>
      </c>
      <c r="F61" s="295">
        <f t="shared" si="3"/>
        <v>108413.85183565282</v>
      </c>
      <c r="G61" s="27">
        <f t="shared" si="4"/>
        <v>683007.26656461286</v>
      </c>
      <c r="H61" s="254"/>
    </row>
    <row r="62" spans="1:8" x14ac:dyDescent="0.25">
      <c r="A62" s="41" t="s">
        <v>52</v>
      </c>
      <c r="B62" s="219">
        <v>2979.52</v>
      </c>
      <c r="C62" s="349">
        <f t="shared" si="5"/>
        <v>4.9658666666666669</v>
      </c>
      <c r="D62" s="295">
        <f t="shared" si="2"/>
        <v>317736.03067711997</v>
      </c>
      <c r="E62" s="366">
        <f t="shared" si="6"/>
        <v>0.93695597484276727</v>
      </c>
      <c r="F62" s="295">
        <f t="shared" si="3"/>
        <v>59950.19446738113</v>
      </c>
      <c r="G62" s="27">
        <f t="shared" si="4"/>
        <v>377686.22514450108</v>
      </c>
      <c r="H62" s="254"/>
    </row>
    <row r="63" spans="1:8" x14ac:dyDescent="0.25">
      <c r="A63" s="41" t="s">
        <v>53</v>
      </c>
      <c r="B63" s="219">
        <v>1729.85</v>
      </c>
      <c r="C63" s="349">
        <f t="shared" si="5"/>
        <v>2.883083333333333</v>
      </c>
      <c r="D63" s="295">
        <f t="shared" si="2"/>
        <v>184471.21437909995</v>
      </c>
      <c r="E63" s="366">
        <f t="shared" si="6"/>
        <v>0.54397798742138359</v>
      </c>
      <c r="F63" s="295">
        <f t="shared" si="3"/>
        <v>34805.889505490559</v>
      </c>
      <c r="G63" s="27">
        <f t="shared" si="4"/>
        <v>219277.1038845905</v>
      </c>
      <c r="H63" s="254"/>
    </row>
    <row r="64" spans="1:8" x14ac:dyDescent="0.25">
      <c r="A64" s="41" t="s">
        <v>54</v>
      </c>
      <c r="B64" s="219">
        <v>25998.85</v>
      </c>
      <c r="C64" s="349">
        <f t="shared" si="5"/>
        <v>43.331416666666662</v>
      </c>
      <c r="D64" s="295">
        <f t="shared" si="2"/>
        <v>2772517.5199930994</v>
      </c>
      <c r="E64" s="366">
        <f t="shared" si="6"/>
        <v>8.1757389937106915</v>
      </c>
      <c r="F64" s="295">
        <f t="shared" si="3"/>
        <v>523116.5132062452</v>
      </c>
      <c r="G64" s="27">
        <f t="shared" si="4"/>
        <v>3295634.0331993448</v>
      </c>
      <c r="H64" s="254"/>
    </row>
    <row r="65" spans="1:8" x14ac:dyDescent="0.25">
      <c r="A65" s="41" t="s">
        <v>55</v>
      </c>
      <c r="B65" s="219">
        <v>8632.56</v>
      </c>
      <c r="C65" s="349">
        <f t="shared" si="5"/>
        <v>14.387599999999999</v>
      </c>
      <c r="D65" s="295">
        <f t="shared" si="2"/>
        <v>920576.25019535993</v>
      </c>
      <c r="E65" s="366">
        <f t="shared" si="6"/>
        <v>2.714641509433962</v>
      </c>
      <c r="F65" s="295">
        <f t="shared" si="3"/>
        <v>173693.63211233204</v>
      </c>
      <c r="G65" s="27">
        <f t="shared" si="4"/>
        <v>1094269.882307692</v>
      </c>
      <c r="H65" s="254"/>
    </row>
    <row r="66" spans="1:8" x14ac:dyDescent="0.25">
      <c r="A66" s="41" t="s">
        <v>56</v>
      </c>
      <c r="B66" s="219">
        <v>1939.18</v>
      </c>
      <c r="C66" s="349">
        <f t="shared" si="5"/>
        <v>3.2319666666666667</v>
      </c>
      <c r="D66" s="295">
        <f t="shared" si="2"/>
        <v>206794.16683507999</v>
      </c>
      <c r="E66" s="366">
        <f t="shared" si="6"/>
        <v>0.60980503144654086</v>
      </c>
      <c r="F66" s="295">
        <f t="shared" si="3"/>
        <v>39017.767327373578</v>
      </c>
      <c r="G66" s="27">
        <f t="shared" si="4"/>
        <v>245811.93416245357</v>
      </c>
      <c r="H66" s="254"/>
    </row>
    <row r="67" spans="1:8" x14ac:dyDescent="0.25">
      <c r="A67" s="41" t="s">
        <v>57</v>
      </c>
      <c r="B67" s="219">
        <v>3124.12</v>
      </c>
      <c r="C67" s="349">
        <f t="shared" si="5"/>
        <v>5.2068666666666665</v>
      </c>
      <c r="D67" s="295">
        <f t="shared" si="2"/>
        <v>333156.17554471997</v>
      </c>
      <c r="E67" s="366">
        <f t="shared" si="6"/>
        <v>0.98242767295597477</v>
      </c>
      <c r="F67" s="295">
        <f t="shared" si="3"/>
        <v>62859.655763154711</v>
      </c>
      <c r="G67" s="27">
        <f t="shared" si="4"/>
        <v>396015.8313078747</v>
      </c>
      <c r="H67" s="254"/>
    </row>
    <row r="68" spans="1:8" x14ac:dyDescent="0.25">
      <c r="A68" s="41" t="s">
        <v>58</v>
      </c>
      <c r="B68" s="219">
        <v>16899.259999999998</v>
      </c>
      <c r="C68" s="349">
        <f t="shared" si="5"/>
        <v>28.165433333333329</v>
      </c>
      <c r="D68" s="295">
        <f t="shared" si="2"/>
        <v>1802137.1877955596</v>
      </c>
      <c r="E68" s="366">
        <f t="shared" si="6"/>
        <v>5.3142327044025155</v>
      </c>
      <c r="F68" s="295">
        <f t="shared" si="3"/>
        <v>340025.88448972825</v>
      </c>
      <c r="G68" s="27">
        <f t="shared" si="4"/>
        <v>2142163.072285288</v>
      </c>
      <c r="H68" s="254"/>
    </row>
    <row r="69" spans="1:8" x14ac:dyDescent="0.25">
      <c r="A69" s="41" t="s">
        <v>59</v>
      </c>
      <c r="B69" s="219">
        <v>4230.8599999999997</v>
      </c>
      <c r="C69" s="349">
        <f t="shared" si="5"/>
        <v>7.0514333333333328</v>
      </c>
      <c r="D69" s="295">
        <f t="shared" si="2"/>
        <v>451178.93578515993</v>
      </c>
      <c r="E69" s="366">
        <f t="shared" si="6"/>
        <v>1.3304591194968551</v>
      </c>
      <c r="F69" s="295">
        <f t="shared" si="3"/>
        <v>85128.101091539604</v>
      </c>
      <c r="G69" s="27">
        <f t="shared" si="4"/>
        <v>536307.03687669954</v>
      </c>
      <c r="H69" s="254"/>
    </row>
    <row r="70" spans="1:8" x14ac:dyDescent="0.25">
      <c r="A70" s="41" t="s">
        <v>60</v>
      </c>
      <c r="B70" s="219">
        <v>3684.37</v>
      </c>
      <c r="C70" s="349">
        <f t="shared" si="5"/>
        <v>6.1406166666666664</v>
      </c>
      <c r="D70" s="295">
        <f t="shared" si="2"/>
        <v>392901.23890621995</v>
      </c>
      <c r="E70" s="366">
        <f t="shared" si="6"/>
        <v>1.1586069182389938</v>
      </c>
      <c r="F70" s="295">
        <f t="shared" si="3"/>
        <v>74132.309227588674</v>
      </c>
      <c r="G70" s="27">
        <f t="shared" si="4"/>
        <v>467033.54813380865</v>
      </c>
      <c r="H70" s="254"/>
    </row>
    <row r="71" spans="1:8" x14ac:dyDescent="0.25">
      <c r="A71" s="41" t="s">
        <v>61</v>
      </c>
      <c r="B71" s="219">
        <v>665.85</v>
      </c>
      <c r="C71" s="349">
        <f t="shared" si="5"/>
        <v>1.10975</v>
      </c>
      <c r="D71" s="295">
        <f t="shared" si="2"/>
        <v>71006.247995099999</v>
      </c>
      <c r="E71" s="366">
        <f t="shared" si="6"/>
        <v>0.20938679245283021</v>
      </c>
      <c r="F71" s="295">
        <f t="shared" si="3"/>
        <v>13397.40528209434</v>
      </c>
      <c r="G71" s="27">
        <f t="shared" si="4"/>
        <v>84403.653277194331</v>
      </c>
      <c r="H71" s="254"/>
    </row>
    <row r="72" spans="1:8" x14ac:dyDescent="0.25">
      <c r="A72" s="41" t="s">
        <v>62</v>
      </c>
      <c r="B72" s="219">
        <v>5751.42</v>
      </c>
      <c r="C72" s="349">
        <f t="shared" si="5"/>
        <v>9.585700000000001</v>
      </c>
      <c r="D72" s="295">
        <f t="shared" si="2"/>
        <v>613331.46330852003</v>
      </c>
      <c r="E72" s="366">
        <f t="shared" si="6"/>
        <v>1.808622641509434</v>
      </c>
      <c r="F72" s="295">
        <f t="shared" si="3"/>
        <v>115722.91760538112</v>
      </c>
      <c r="G72" s="27">
        <f t="shared" si="4"/>
        <v>729054.38091390114</v>
      </c>
      <c r="H72" s="254"/>
    </row>
    <row r="73" spans="1:8" x14ac:dyDescent="0.25">
      <c r="A73" s="41" t="s">
        <v>63</v>
      </c>
      <c r="B73" s="219">
        <v>10099.5</v>
      </c>
      <c r="C73" s="349">
        <f t="shared" si="5"/>
        <v>16.8325</v>
      </c>
      <c r="D73" s="295">
        <f t="shared" si="2"/>
        <v>1077010.7405969999</v>
      </c>
      <c r="E73" s="366">
        <f t="shared" si="6"/>
        <v>3.175943396226415</v>
      </c>
      <c r="F73" s="295">
        <f t="shared" si="3"/>
        <v>203209.57369754714</v>
      </c>
      <c r="G73" s="27">
        <f t="shared" si="4"/>
        <v>1280220.3142945471</v>
      </c>
      <c r="H73" s="254"/>
    </row>
    <row r="74" spans="1:8" x14ac:dyDescent="0.25">
      <c r="A74" s="41" t="s">
        <v>64</v>
      </c>
      <c r="B74" s="219">
        <v>2483.25</v>
      </c>
      <c r="C74" s="349">
        <f t="shared" si="5"/>
        <v>4.1387499999999999</v>
      </c>
      <c r="D74" s="295">
        <f t="shared" si="2"/>
        <v>264813.79489949998</v>
      </c>
      <c r="E74" s="366">
        <f t="shared" si="6"/>
        <v>0.78089622641509437</v>
      </c>
      <c r="F74" s="295">
        <f t="shared" si="3"/>
        <v>49964.866962169814</v>
      </c>
      <c r="G74" s="27">
        <f t="shared" si="4"/>
        <v>314778.6618616698</v>
      </c>
      <c r="H74" s="254"/>
    </row>
    <row r="75" spans="1:8" x14ac:dyDescent="0.25">
      <c r="A75" s="41" t="s">
        <v>65</v>
      </c>
      <c r="B75" s="219">
        <v>3390.2</v>
      </c>
      <c r="C75" s="349">
        <f t="shared" si="5"/>
        <v>5.6503333333333332</v>
      </c>
      <c r="D75" s="295">
        <f t="shared" si="2"/>
        <v>361530.94834119995</v>
      </c>
      <c r="E75" s="366">
        <f t="shared" si="6"/>
        <v>1.0661006289308175</v>
      </c>
      <c r="F75" s="295">
        <f t="shared" si="3"/>
        <v>68213.386479471679</v>
      </c>
      <c r="G75" s="27">
        <f t="shared" si="4"/>
        <v>429744.33482067165</v>
      </c>
      <c r="H75" s="254"/>
    </row>
    <row r="76" spans="1:8" x14ac:dyDescent="0.25">
      <c r="A76" s="41" t="s">
        <v>66</v>
      </c>
      <c r="B76" s="219">
        <v>6118.74</v>
      </c>
      <c r="C76" s="349">
        <f t="shared" si="5"/>
        <v>10.197899999999999</v>
      </c>
      <c r="D76" s="295">
        <f t="shared" si="2"/>
        <v>652502.47031243984</v>
      </c>
      <c r="E76" s="366">
        <f t="shared" si="6"/>
        <v>1.924132075471698</v>
      </c>
      <c r="F76" s="295">
        <f t="shared" si="3"/>
        <v>123113.67364385659</v>
      </c>
      <c r="G76" s="27">
        <f t="shared" si="4"/>
        <v>775616.14395629638</v>
      </c>
      <c r="H76" s="254"/>
    </row>
    <row r="77" spans="1:8" x14ac:dyDescent="0.25">
      <c r="A77" s="41" t="s">
        <v>67</v>
      </c>
      <c r="B77" s="219">
        <v>15618.17</v>
      </c>
      <c r="C77" s="349">
        <f t="shared" si="5"/>
        <v>26.030283333333333</v>
      </c>
      <c r="D77" s="295">
        <f t="shared" si="2"/>
        <v>1665521.7425090198</v>
      </c>
      <c r="E77" s="366">
        <f t="shared" si="6"/>
        <v>4.9113742138364778</v>
      </c>
      <c r="F77" s="295">
        <f t="shared" si="3"/>
        <v>314249.38537906035</v>
      </c>
      <c r="G77" s="27">
        <f t="shared" si="4"/>
        <v>1979771.1278880802</v>
      </c>
      <c r="H77" s="254"/>
    </row>
    <row r="78" spans="1:8" x14ac:dyDescent="0.25">
      <c r="A78" s="41" t="s">
        <v>68</v>
      </c>
      <c r="B78" s="219">
        <v>22502.1</v>
      </c>
      <c r="C78" s="349">
        <f t="shared" ref="C78:C94" si="7">$B$8*(B78/$B$9)</f>
        <v>37.503499999999995</v>
      </c>
      <c r="D78" s="295">
        <f t="shared" si="2"/>
        <v>2399624.0790125998</v>
      </c>
      <c r="E78" s="366">
        <f t="shared" ref="E78:E94" si="8">$D$8*(B78/$D$9)</f>
        <v>7.0761320754716976</v>
      </c>
      <c r="F78" s="295">
        <f t="shared" si="3"/>
        <v>452759.26019105653</v>
      </c>
      <c r="G78" s="27">
        <f t="shared" si="4"/>
        <v>2852383.3392036562</v>
      </c>
      <c r="H78" s="254"/>
    </row>
    <row r="79" spans="1:8" x14ac:dyDescent="0.25">
      <c r="A79" s="41" t="s">
        <v>69</v>
      </c>
      <c r="B79" s="219">
        <v>27586.57</v>
      </c>
      <c r="C79" s="349">
        <f t="shared" si="7"/>
        <v>45.97761666666667</v>
      </c>
      <c r="D79" s="295">
        <f t="shared" ref="D79:D94" si="9">C79*SUM($B$4:$B$6)</f>
        <v>2941831.9903194201</v>
      </c>
      <c r="E79" s="366">
        <f t="shared" si="8"/>
        <v>8.6750220125786157</v>
      </c>
      <c r="F79" s="295">
        <f t="shared" ref="F79:F94" si="10">E79*SUM($D$4:$D$6)</f>
        <v>555062.63968290936</v>
      </c>
      <c r="G79" s="27">
        <f t="shared" ref="G79:G93" si="11">D79+F79</f>
        <v>3496894.6300023296</v>
      </c>
      <c r="H79" s="254"/>
    </row>
    <row r="80" spans="1:8" x14ac:dyDescent="0.25">
      <c r="A80" s="41" t="s">
        <v>70</v>
      </c>
      <c r="B80" s="219">
        <v>2197.3200000000002</v>
      </c>
      <c r="C80" s="349">
        <f t="shared" si="7"/>
        <v>3.6622000000000003</v>
      </c>
      <c r="D80" s="295">
        <f t="shared" si="9"/>
        <v>234322.21798392001</v>
      </c>
      <c r="E80" s="366">
        <f t="shared" si="8"/>
        <v>0.69098113207547174</v>
      </c>
      <c r="F80" s="295">
        <f t="shared" si="10"/>
        <v>44211.739242249059</v>
      </c>
      <c r="G80" s="27">
        <f t="shared" si="11"/>
        <v>278533.95722616906</v>
      </c>
      <c r="H80" s="254"/>
    </row>
    <row r="81" spans="1:8" x14ac:dyDescent="0.25">
      <c r="A81" s="41" t="s">
        <v>71</v>
      </c>
      <c r="B81" s="219">
        <v>4904.8</v>
      </c>
      <c r="C81" s="349">
        <f t="shared" si="7"/>
        <v>8.174666666666667</v>
      </c>
      <c r="D81" s="295">
        <f t="shared" si="9"/>
        <v>523047.90142880002</v>
      </c>
      <c r="E81" s="366">
        <f t="shared" si="8"/>
        <v>1.5423899371069183</v>
      </c>
      <c r="F81" s="295">
        <f t="shared" si="10"/>
        <v>98688.283288452832</v>
      </c>
      <c r="G81" s="27">
        <f t="shared" si="11"/>
        <v>621736.18471725285</v>
      </c>
      <c r="H81" s="254"/>
    </row>
    <row r="82" spans="1:8" x14ac:dyDescent="0.25">
      <c r="A82" s="41" t="s">
        <v>72</v>
      </c>
      <c r="B82" s="219">
        <v>9921.15</v>
      </c>
      <c r="C82" s="349">
        <f t="shared" si="7"/>
        <v>16.535249999999998</v>
      </c>
      <c r="D82" s="295">
        <f t="shared" si="9"/>
        <v>1057991.4955268998</v>
      </c>
      <c r="E82" s="366">
        <f t="shared" si="8"/>
        <v>3.1198584905660378</v>
      </c>
      <c r="F82" s="295">
        <f t="shared" si="10"/>
        <v>199621.03689186793</v>
      </c>
      <c r="G82" s="27">
        <f t="shared" si="11"/>
        <v>1257612.5324187677</v>
      </c>
      <c r="H82" s="254"/>
    </row>
    <row r="83" spans="1:8" x14ac:dyDescent="0.25">
      <c r="A83" s="41" t="s">
        <v>73</v>
      </c>
      <c r="B83" s="219">
        <v>2737.16</v>
      </c>
      <c r="C83" s="349">
        <f t="shared" si="7"/>
        <v>4.5619333333333332</v>
      </c>
      <c r="D83" s="295">
        <f t="shared" si="9"/>
        <v>291890.75882295996</v>
      </c>
      <c r="E83" s="366">
        <f t="shared" si="8"/>
        <v>0.86074213836477986</v>
      </c>
      <c r="F83" s="295">
        <f t="shared" si="10"/>
        <v>55073.728079803768</v>
      </c>
      <c r="G83" s="27">
        <f t="shared" si="11"/>
        <v>346964.48690276372</v>
      </c>
      <c r="H83" s="254"/>
    </row>
    <row r="84" spans="1:8" x14ac:dyDescent="0.25">
      <c r="A84" s="41" t="s">
        <v>74</v>
      </c>
      <c r="B84" s="219">
        <v>2669.43</v>
      </c>
      <c r="C84" s="349">
        <f t="shared" si="7"/>
        <v>4.4490499999999997</v>
      </c>
      <c r="D84" s="295">
        <f t="shared" si="9"/>
        <v>284668.03121657996</v>
      </c>
      <c r="E84" s="366">
        <f t="shared" si="8"/>
        <v>0.83944339622641506</v>
      </c>
      <c r="F84" s="295">
        <f t="shared" si="10"/>
        <v>53710.949286147166</v>
      </c>
      <c r="G84" s="27">
        <f t="shared" si="11"/>
        <v>338378.98050272709</v>
      </c>
      <c r="H84" s="254"/>
    </row>
    <row r="85" spans="1:8" x14ac:dyDescent="0.25">
      <c r="A85" s="41" t="s">
        <v>75</v>
      </c>
      <c r="B85" s="219">
        <v>8533.4500000000007</v>
      </c>
      <c r="C85" s="349">
        <f t="shared" si="7"/>
        <v>14.222416666666668</v>
      </c>
      <c r="D85" s="295">
        <f t="shared" si="9"/>
        <v>910007.1592007</v>
      </c>
      <c r="E85" s="366">
        <f t="shared" si="8"/>
        <v>2.6834748427672959</v>
      </c>
      <c r="F85" s="295">
        <f t="shared" si="10"/>
        <v>171699.46400013208</v>
      </c>
      <c r="G85" s="27">
        <f t="shared" si="11"/>
        <v>1081706.6232008322</v>
      </c>
      <c r="H85" s="254"/>
    </row>
    <row r="86" spans="1:8" x14ac:dyDescent="0.25">
      <c r="A86" s="41" t="s">
        <v>76</v>
      </c>
      <c r="B86" s="219">
        <v>10966.62</v>
      </c>
      <c r="C86" s="349">
        <f t="shared" si="7"/>
        <v>18.277700000000003</v>
      </c>
      <c r="D86" s="295">
        <f t="shared" si="9"/>
        <v>1169480.4225997201</v>
      </c>
      <c r="E86" s="366">
        <f t="shared" si="8"/>
        <v>3.4486226415094343</v>
      </c>
      <c r="F86" s="295">
        <f t="shared" si="10"/>
        <v>220656.68350938114</v>
      </c>
      <c r="G86" s="27">
        <f t="shared" si="11"/>
        <v>1390137.1061091013</v>
      </c>
      <c r="H86" s="254"/>
    </row>
    <row r="87" spans="1:8" x14ac:dyDescent="0.25">
      <c r="A87" s="41" t="s">
        <v>77</v>
      </c>
      <c r="B87" s="219">
        <v>7107.44</v>
      </c>
      <c r="C87" s="349">
        <f t="shared" si="7"/>
        <v>11.845733333333333</v>
      </c>
      <c r="D87" s="295">
        <f t="shared" si="9"/>
        <v>757937.44424463995</v>
      </c>
      <c r="E87" s="366">
        <f t="shared" si="8"/>
        <v>2.2350440251572326</v>
      </c>
      <c r="F87" s="295">
        <f t="shared" si="10"/>
        <v>143007.06495181884</v>
      </c>
      <c r="G87" s="27">
        <f t="shared" si="11"/>
        <v>900944.50919645885</v>
      </c>
      <c r="H87" s="254"/>
    </row>
    <row r="88" spans="1:8" x14ac:dyDescent="0.25">
      <c r="A88" s="41" t="s">
        <v>78</v>
      </c>
      <c r="B88" s="219">
        <v>15888.61</v>
      </c>
      <c r="C88" s="349">
        <f t="shared" si="7"/>
        <v>26.481016666666669</v>
      </c>
      <c r="D88" s="295">
        <f t="shared" si="9"/>
        <v>1694361.4657316601</v>
      </c>
      <c r="E88" s="366">
        <f t="shared" si="8"/>
        <v>4.9964182389937113</v>
      </c>
      <c r="F88" s="295">
        <f t="shared" si="10"/>
        <v>319690.84259087924</v>
      </c>
      <c r="G88" s="27">
        <f t="shared" si="11"/>
        <v>2014052.3083225393</v>
      </c>
      <c r="H88" s="254"/>
    </row>
    <row r="89" spans="1:8" x14ac:dyDescent="0.25">
      <c r="A89" s="41" t="s">
        <v>79</v>
      </c>
      <c r="B89" s="219">
        <v>3787.02</v>
      </c>
      <c r="C89" s="349">
        <f t="shared" si="7"/>
        <v>6.3117000000000001</v>
      </c>
      <c r="D89" s="295">
        <f t="shared" si="9"/>
        <v>403847.83552212</v>
      </c>
      <c r="E89" s="366">
        <f t="shared" si="8"/>
        <v>1.1908867924528301</v>
      </c>
      <c r="F89" s="295">
        <f t="shared" si="10"/>
        <v>76197.704815494333</v>
      </c>
      <c r="G89" s="27">
        <f t="shared" si="11"/>
        <v>480045.54033761437</v>
      </c>
      <c r="H89" s="254"/>
    </row>
    <row r="90" spans="1:8" x14ac:dyDescent="0.25">
      <c r="A90" s="41" t="s">
        <v>80</v>
      </c>
      <c r="B90" s="219">
        <v>3426.1</v>
      </c>
      <c r="C90" s="349">
        <f t="shared" si="7"/>
        <v>5.7101666666666668</v>
      </c>
      <c r="D90" s="295">
        <f t="shared" si="9"/>
        <v>365359.32455660001</v>
      </c>
      <c r="E90" s="366">
        <f t="shared" si="8"/>
        <v>1.0773899371069182</v>
      </c>
      <c r="F90" s="295">
        <f t="shared" si="10"/>
        <v>68935.721614452821</v>
      </c>
      <c r="G90" s="27">
        <f t="shared" si="11"/>
        <v>434295.04617105285</v>
      </c>
      <c r="H90" s="254"/>
    </row>
    <row r="91" spans="1:8" x14ac:dyDescent="0.25">
      <c r="A91" s="41" t="s">
        <v>81</v>
      </c>
      <c r="B91" s="219">
        <v>4956.4399999999996</v>
      </c>
      <c r="C91" s="349">
        <f t="shared" si="7"/>
        <v>8.2607333333333326</v>
      </c>
      <c r="D91" s="295">
        <f t="shared" si="9"/>
        <v>528554.79133863992</v>
      </c>
      <c r="E91" s="366">
        <f t="shared" si="8"/>
        <v>1.55862893081761</v>
      </c>
      <c r="F91" s="295">
        <f t="shared" si="10"/>
        <v>99727.319120498098</v>
      </c>
      <c r="G91" s="27">
        <f t="shared" si="11"/>
        <v>628282.11045913806</v>
      </c>
      <c r="H91" s="254"/>
    </row>
    <row r="92" spans="1:8" x14ac:dyDescent="0.25">
      <c r="A92" s="41" t="s">
        <v>82</v>
      </c>
      <c r="B92" s="219">
        <v>7694.47</v>
      </c>
      <c r="C92" s="349">
        <f t="shared" si="7"/>
        <v>12.824116666666667</v>
      </c>
      <c r="D92" s="295">
        <f t="shared" si="9"/>
        <v>820538.32696681994</v>
      </c>
      <c r="E92" s="366">
        <f t="shared" si="8"/>
        <v>2.4196446540880503</v>
      </c>
      <c r="F92" s="295">
        <f t="shared" si="10"/>
        <v>154818.55225789055</v>
      </c>
      <c r="G92" s="27">
        <f t="shared" si="11"/>
        <v>975356.87922471052</v>
      </c>
      <c r="H92" s="254"/>
    </row>
    <row r="93" spans="1:8" x14ac:dyDescent="0.25">
      <c r="A93" s="41" t="s">
        <v>83</v>
      </c>
      <c r="B93" s="219">
        <v>17132.009999999998</v>
      </c>
      <c r="C93" s="349">
        <f t="shared" si="7"/>
        <v>28.553349999999998</v>
      </c>
      <c r="D93" s="295">
        <f t="shared" si="9"/>
        <v>1826957.6491920599</v>
      </c>
      <c r="E93" s="366">
        <f t="shared" si="8"/>
        <v>5.387424528301886</v>
      </c>
      <c r="F93" s="295">
        <f t="shared" si="10"/>
        <v>344708.99041359616</v>
      </c>
      <c r="G93" s="27">
        <f t="shared" si="11"/>
        <v>2171666.6396056563</v>
      </c>
      <c r="H93" s="254"/>
    </row>
    <row r="94" spans="1:8" x14ac:dyDescent="0.25">
      <c r="A94" s="41" t="s">
        <v>84</v>
      </c>
      <c r="B94" s="219">
        <v>15937.31</v>
      </c>
      <c r="C94" s="349">
        <f t="shared" si="7"/>
        <v>26.562183333333333</v>
      </c>
      <c r="D94" s="295">
        <f t="shared" si="9"/>
        <v>1699554.8340238598</v>
      </c>
      <c r="E94" s="366">
        <f t="shared" si="8"/>
        <v>5.0117327044025153</v>
      </c>
      <c r="F94" s="295">
        <f t="shared" si="10"/>
        <v>320670.72340072825</v>
      </c>
      <c r="G94" s="27">
        <f>D94+F94</f>
        <v>2020225.5574245881</v>
      </c>
      <c r="H94" s="254"/>
    </row>
    <row r="95" spans="1:8" ht="15.75" thickBot="1" x14ac:dyDescent="0.3">
      <c r="A95" s="687" t="s">
        <v>312</v>
      </c>
      <c r="B95" s="223">
        <v>721122.25</v>
      </c>
      <c r="C95" s="245">
        <f t="shared" ref="C95:E95" si="12">SUM(C14:C94)</f>
        <v>1201.8704166666669</v>
      </c>
      <c r="D95" s="296">
        <f t="shared" si="12"/>
        <v>76900481.066733509</v>
      </c>
      <c r="E95" s="367">
        <f t="shared" si="12"/>
        <v>226.76800314465399</v>
      </c>
      <c r="F95" s="296">
        <f>SUM(F14:F94)</f>
        <v>14509524.729572358</v>
      </c>
      <c r="G95" s="21">
        <f>SUM(G14:G94)</f>
        <v>91410005.796305865</v>
      </c>
      <c r="H95" s="254"/>
    </row>
    <row r="97" spans="4:4" x14ac:dyDescent="0.25">
      <c r="D97" s="361"/>
    </row>
  </sheetData>
  <mergeCells count="2">
    <mergeCell ref="G11:G12"/>
    <mergeCell ref="C11:F11"/>
  </mergeCells>
  <printOptions horizontalCentered="1"/>
  <pageMargins left="0.5" right="0.5" top="0.5" bottom="0.5" header="0.3" footer="0.3"/>
  <pageSetup scale="69" fitToHeight="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pageSetUpPr fitToPage="1"/>
  </sheetPr>
  <dimension ref="A1:J96"/>
  <sheetViews>
    <sheetView zoomScale="145" zoomScaleNormal="145" workbookViewId="0">
      <selection activeCell="B17" sqref="B17"/>
    </sheetView>
  </sheetViews>
  <sheetFormatPr defaultRowHeight="15" x14ac:dyDescent="0.25"/>
  <cols>
    <col min="1" max="1" width="20.42578125" style="1" customWidth="1"/>
    <col min="2" max="2" width="10.28515625" style="1" bestFit="1" customWidth="1"/>
    <col min="3" max="3" width="14.5703125" style="1" customWidth="1"/>
    <col min="4" max="4" width="14.28515625" style="1" bestFit="1" customWidth="1"/>
    <col min="5" max="5" width="17.85546875" style="1" customWidth="1"/>
    <col min="6" max="6" width="11.28515625" style="1" bestFit="1" customWidth="1"/>
    <col min="7" max="7" width="14.42578125" style="1" bestFit="1" customWidth="1"/>
    <col min="8" max="8" width="12.7109375" style="1" customWidth="1"/>
    <col min="9" max="9" width="12.140625" style="1" customWidth="1"/>
    <col min="10" max="10" width="16" style="1" customWidth="1"/>
    <col min="11" max="11" width="11.140625" style="1" bestFit="1" customWidth="1"/>
    <col min="12" max="12" width="3.85546875" style="1" customWidth="1"/>
    <col min="13" max="13" width="15" style="1" customWidth="1"/>
    <col min="14" max="14" width="11.140625" style="1" bestFit="1" customWidth="1"/>
    <col min="15" max="15" width="3.85546875" style="1" customWidth="1"/>
    <col min="16" max="16" width="15.28515625" style="1" customWidth="1"/>
    <col min="17" max="17" width="11.140625" style="1" bestFit="1" customWidth="1"/>
    <col min="18" max="18" width="3.85546875" style="1" customWidth="1"/>
    <col min="19" max="19" width="15.5703125" style="1" customWidth="1"/>
    <col min="20" max="20" width="11.140625" style="1" bestFit="1" customWidth="1"/>
    <col min="21" max="16384" width="9.140625" style="1"/>
  </cols>
  <sheetData>
    <row r="1" spans="1:10" ht="23.25" x14ac:dyDescent="0.35">
      <c r="A1" s="207" t="s">
        <v>165</v>
      </c>
      <c r="B1" s="208"/>
      <c r="C1" s="208"/>
      <c r="D1" s="209"/>
    </row>
    <row r="2" spans="1:10" ht="15.75" thickBot="1" x14ac:dyDescent="0.3">
      <c r="A2" s="353"/>
      <c r="B2" s="684"/>
      <c r="C2" s="353"/>
      <c r="D2" s="353"/>
      <c r="E2" s="353"/>
      <c r="F2" s="353"/>
      <c r="G2" s="353"/>
      <c r="H2" s="353"/>
    </row>
    <row r="3" spans="1:10" ht="26.25" x14ac:dyDescent="0.25">
      <c r="A3" s="637" t="s">
        <v>672</v>
      </c>
      <c r="B3" s="42"/>
      <c r="C3" s="685" t="s">
        <v>192</v>
      </c>
      <c r="D3" s="42"/>
      <c r="E3" s="353"/>
      <c r="F3" s="353"/>
      <c r="G3" s="353"/>
      <c r="H3" s="353"/>
    </row>
    <row r="4" spans="1:10" x14ac:dyDescent="0.25">
      <c r="A4" s="212" t="s">
        <v>95</v>
      </c>
      <c r="B4" s="43">
        <f>Amounts!C47</f>
        <v>75796.2</v>
      </c>
      <c r="C4" s="212" t="s">
        <v>95</v>
      </c>
      <c r="D4" s="43">
        <f>Amounts!C48</f>
        <v>31210.199999999997</v>
      </c>
      <c r="E4" s="353"/>
      <c r="F4" s="353"/>
      <c r="G4" s="353"/>
      <c r="H4" s="353"/>
    </row>
    <row r="5" spans="1:10" ht="26.25" x14ac:dyDescent="0.25">
      <c r="A5" s="212" t="s">
        <v>138</v>
      </c>
      <c r="B5" s="43">
        <f>B4*G8</f>
        <v>21420.006120000002</v>
      </c>
      <c r="C5" s="212" t="s">
        <v>138</v>
      </c>
      <c r="D5" s="43">
        <f>D4*G8</f>
        <v>8820.00252</v>
      </c>
      <c r="E5" s="353"/>
      <c r="F5" s="353"/>
      <c r="G5" s="353"/>
      <c r="H5" s="353"/>
    </row>
    <row r="6" spans="1:10" ht="15.75" thickBot="1" x14ac:dyDescent="0.3">
      <c r="A6" s="213" t="s">
        <v>98</v>
      </c>
      <c r="B6" s="44">
        <f>Amounts!B6</f>
        <v>6798</v>
      </c>
      <c r="C6" s="213" t="s">
        <v>98</v>
      </c>
      <c r="D6" s="44">
        <f>Amounts!B6</f>
        <v>6798</v>
      </c>
      <c r="E6" s="353"/>
      <c r="F6" s="353"/>
      <c r="G6" s="353"/>
      <c r="H6" s="353"/>
    </row>
    <row r="7" spans="1:10" ht="15.75" thickBot="1" x14ac:dyDescent="0.3">
      <c r="A7" s="35"/>
      <c r="B7" s="214"/>
      <c r="C7" s="353"/>
      <c r="D7" s="353"/>
      <c r="E7" s="353"/>
      <c r="F7" s="353"/>
      <c r="G7" s="353"/>
      <c r="H7" s="353"/>
    </row>
    <row r="8" spans="1:10" x14ac:dyDescent="0.25">
      <c r="A8" s="676" t="s">
        <v>712</v>
      </c>
      <c r="B8" s="215">
        <v>1</v>
      </c>
      <c r="C8" s="676" t="s">
        <v>193</v>
      </c>
      <c r="D8" s="215">
        <f>Amounts!E48</f>
        <v>1</v>
      </c>
      <c r="E8" s="648" t="s">
        <v>137</v>
      </c>
      <c r="F8" s="353"/>
      <c r="G8" s="590">
        <f>Amounts!B9</f>
        <v>0.28260000000000002</v>
      </c>
      <c r="H8" s="353"/>
    </row>
    <row r="9" spans="1:10" ht="15.75" thickBot="1" x14ac:dyDescent="0.3">
      <c r="A9" s="679" t="s">
        <v>186</v>
      </c>
      <c r="B9" s="216">
        <f>Amounts!G47</f>
        <v>15</v>
      </c>
      <c r="C9" s="679" t="s">
        <v>186</v>
      </c>
      <c r="D9" s="216">
        <f>Amounts!G48</f>
        <v>15</v>
      </c>
      <c r="E9" s="353"/>
      <c r="F9" s="353"/>
      <c r="G9" s="353"/>
      <c r="H9" s="353"/>
    </row>
    <row r="10" spans="1:10" ht="15.75" thickBot="1" x14ac:dyDescent="0.3">
      <c r="C10" s="218"/>
    </row>
    <row r="11" spans="1:10" ht="15.75" customHeight="1" thickBot="1" x14ac:dyDescent="0.3">
      <c r="D11" s="850" t="s">
        <v>125</v>
      </c>
      <c r="E11" s="851"/>
      <c r="F11" s="851"/>
      <c r="G11" s="851"/>
      <c r="H11" s="852"/>
      <c r="I11" s="246"/>
      <c r="J11" s="244"/>
    </row>
    <row r="12" spans="1:10" ht="45" customHeight="1" x14ac:dyDescent="0.25">
      <c r="A12" s="848" t="s">
        <v>0</v>
      </c>
      <c r="B12" s="831" t="s">
        <v>86</v>
      </c>
      <c r="C12" s="890" t="s">
        <v>187</v>
      </c>
      <c r="D12" s="892" t="s">
        <v>188</v>
      </c>
      <c r="E12" s="886" t="s">
        <v>191</v>
      </c>
      <c r="F12" s="892" t="s">
        <v>194</v>
      </c>
      <c r="G12" s="888" t="s">
        <v>195</v>
      </c>
      <c r="H12" s="882" t="s">
        <v>151</v>
      </c>
    </row>
    <row r="13" spans="1:10" x14ac:dyDescent="0.25">
      <c r="A13" s="849"/>
      <c r="B13" s="832"/>
      <c r="C13" s="891"/>
      <c r="D13" s="893"/>
      <c r="E13" s="887"/>
      <c r="F13" s="893"/>
      <c r="G13" s="889"/>
      <c r="H13" s="883"/>
    </row>
    <row r="14" spans="1:10" x14ac:dyDescent="0.25">
      <c r="A14" s="693" t="s">
        <v>715</v>
      </c>
      <c r="B14" s="693" t="s">
        <v>716</v>
      </c>
      <c r="C14" s="693" t="s">
        <v>717</v>
      </c>
      <c r="D14" s="823" t="s">
        <v>718</v>
      </c>
      <c r="E14" s="824" t="s">
        <v>719</v>
      </c>
      <c r="F14" s="825" t="s">
        <v>720</v>
      </c>
      <c r="G14" s="713" t="s">
        <v>721</v>
      </c>
      <c r="H14" s="705" t="s">
        <v>722</v>
      </c>
    </row>
    <row r="15" spans="1:10" x14ac:dyDescent="0.25">
      <c r="A15" s="40" t="s">
        <v>4</v>
      </c>
      <c r="B15" s="219">
        <v>2915.96</v>
      </c>
      <c r="C15" s="39">
        <f>SUM('K '!L15,'1-3 '!J15,'4-6'!J15,'7-8 '!J15,'9-12 '!J15,'Special Ed (Simplified)'!I15,'Special Ed (Goal)'!T15)</f>
        <v>186.0934763298053</v>
      </c>
      <c r="D15" s="64">
        <f>$B$8*(C15/$B$9)</f>
        <v>12.406231755320354</v>
      </c>
      <c r="E15" s="222">
        <f>($B$4+$B$5+$B$6)*D15</f>
        <v>1290424.3469703807</v>
      </c>
      <c r="F15" s="247">
        <f>$D$8*(C15/$D$9)</f>
        <v>12.406231755320354</v>
      </c>
      <c r="G15" s="220">
        <f>($D$4+$D$5+$D$6)*F15</f>
        <v>580961.53314819664</v>
      </c>
      <c r="H15" s="27">
        <f>SUM(E15,G15)</f>
        <v>1871385.8801185773</v>
      </c>
    </row>
    <row r="16" spans="1:10" x14ac:dyDescent="0.25">
      <c r="A16" s="41" t="s">
        <v>5</v>
      </c>
      <c r="B16" s="219">
        <v>23246.81</v>
      </c>
      <c r="C16" s="39">
        <f>SUM('K '!L16,'1-3 '!J16,'4-6'!J16,'7-8 '!J16,'9-12 '!J16,'Special Ed (Simplified)'!I16,'Special Ed (Goal)'!T16)</f>
        <v>1466.4360887812882</v>
      </c>
      <c r="D16" s="64">
        <f t="shared" ref="D16:D79" si="0">$B$8*(C16/$B$9)</f>
        <v>97.762405918752549</v>
      </c>
      <c r="E16" s="222">
        <f t="shared" ref="E16:E79" si="1">($B$4+$B$5+$B$6)*D16</f>
        <v>10168679.040020237</v>
      </c>
      <c r="F16" s="247">
        <f t="shared" ref="F16:F79" si="2">$D$8*(C16/$D$9)</f>
        <v>97.762405918752549</v>
      </c>
      <c r="G16" s="220">
        <f t="shared" ref="G16:G79" si="3">($D$4+$D$5+$D$6)*F16</f>
        <v>4578037.7432057913</v>
      </c>
      <c r="H16" s="27">
        <f t="shared" ref="H16:H79" si="4">SUM(E16,G16)</f>
        <v>14746716.783226028</v>
      </c>
    </row>
    <row r="17" spans="1:8" x14ac:dyDescent="0.25">
      <c r="A17" s="41" t="s">
        <v>6</v>
      </c>
      <c r="B17" s="219">
        <v>1028.55</v>
      </c>
      <c r="C17" s="39">
        <f>SUM('K '!L17,'1-3 '!J17,'4-6'!J17,'7-8 '!J17,'9-12 '!J17,'Special Ed (Simplified)'!I17,'Special Ed (Goal)'!T17)</f>
        <v>69.316766251046957</v>
      </c>
      <c r="D17" s="64">
        <f t="shared" si="0"/>
        <v>4.6211177500697973</v>
      </c>
      <c r="E17" s="222">
        <f t="shared" si="1"/>
        <v>480661.89416055055</v>
      </c>
      <c r="F17" s="247">
        <f t="shared" si="2"/>
        <v>4.6211177500697973</v>
      </c>
      <c r="G17" s="220">
        <f t="shared" si="3"/>
        <v>216398.63786903521</v>
      </c>
      <c r="H17" s="27">
        <f t="shared" si="4"/>
        <v>697060.5320295858</v>
      </c>
    </row>
    <row r="18" spans="1:8" x14ac:dyDescent="0.25">
      <c r="A18" s="41" t="s">
        <v>7</v>
      </c>
      <c r="B18" s="219">
        <v>9875.19</v>
      </c>
      <c r="C18" s="39">
        <f>SUM('K '!L18,'1-3 '!J18,'4-6'!J18,'7-8 '!J18,'9-12 '!J18,'Special Ed (Simplified)'!I18,'Special Ed (Goal)'!T18)</f>
        <v>601.41425616563811</v>
      </c>
      <c r="D18" s="64">
        <f t="shared" si="0"/>
        <v>40.094283744375872</v>
      </c>
      <c r="E18" s="222">
        <f t="shared" si="1"/>
        <v>4170375.0936212773</v>
      </c>
      <c r="F18" s="247">
        <f t="shared" si="2"/>
        <v>40.094283744375872</v>
      </c>
      <c r="G18" s="220">
        <f t="shared" si="3"/>
        <v>1877543.2390759771</v>
      </c>
      <c r="H18" s="27">
        <f t="shared" si="4"/>
        <v>6047918.3326972546</v>
      </c>
    </row>
    <row r="19" spans="1:8" x14ac:dyDescent="0.25">
      <c r="A19" s="41" t="s">
        <v>8</v>
      </c>
      <c r="B19" s="219">
        <v>3618.89</v>
      </c>
      <c r="C19" s="39">
        <f>SUM('K '!L19,'1-3 '!J19,'4-6'!J19,'7-8 '!J19,'9-12 '!J19,'Special Ed (Simplified)'!I19,'Special Ed (Goal)'!T19)</f>
        <v>232.05412247449564</v>
      </c>
      <c r="D19" s="64">
        <f t="shared" si="0"/>
        <v>15.470274831633043</v>
      </c>
      <c r="E19" s="222">
        <f t="shared" si="1"/>
        <v>1609128.3550705276</v>
      </c>
      <c r="F19" s="247">
        <f t="shared" si="2"/>
        <v>15.470274831633043</v>
      </c>
      <c r="G19" s="220">
        <f t="shared" si="3"/>
        <v>724445.16285577102</v>
      </c>
      <c r="H19" s="27">
        <f t="shared" si="4"/>
        <v>2333573.5179262985</v>
      </c>
    </row>
    <row r="20" spans="1:8" x14ac:dyDescent="0.25">
      <c r="A20" s="41" t="s">
        <v>9</v>
      </c>
      <c r="B20" s="219">
        <v>2479.0500000000002</v>
      </c>
      <c r="C20" s="39">
        <f>SUM('K '!L20,'1-3 '!J20,'4-6'!J20,'7-8 '!J20,'9-12 '!J20,'Special Ed (Simplified)'!I20,'Special Ed (Goal)'!T20)</f>
        <v>161.82754788098188</v>
      </c>
      <c r="D20" s="64">
        <f t="shared" si="0"/>
        <v>10.788503192065459</v>
      </c>
      <c r="E20" s="222">
        <f t="shared" si="1"/>
        <v>1122157.5947457745</v>
      </c>
      <c r="F20" s="247">
        <f t="shared" si="2"/>
        <v>10.788503192065459</v>
      </c>
      <c r="G20" s="220">
        <f t="shared" si="3"/>
        <v>505206.21236570779</v>
      </c>
      <c r="H20" s="27">
        <f t="shared" si="4"/>
        <v>1627363.8071114824</v>
      </c>
    </row>
    <row r="21" spans="1:8" x14ac:dyDescent="0.25">
      <c r="A21" s="41" t="s">
        <v>10</v>
      </c>
      <c r="B21" s="219">
        <v>2744.29</v>
      </c>
      <c r="C21" s="39">
        <f>SUM('K '!L21,'1-3 '!J21,'4-6'!J21,'7-8 '!J21,'9-12 '!J21,'Special Ed (Simplified)'!I21,'Special Ed (Goal)'!T21)</f>
        <v>174.96329925459273</v>
      </c>
      <c r="D21" s="64">
        <f t="shared" si="0"/>
        <v>11.664219950306181</v>
      </c>
      <c r="E21" s="222">
        <f t="shared" si="1"/>
        <v>1213244.5781401633</v>
      </c>
      <c r="F21" s="247">
        <f t="shared" si="2"/>
        <v>11.664219950306181</v>
      </c>
      <c r="G21" s="220">
        <f t="shared" si="3"/>
        <v>546214.45407076215</v>
      </c>
      <c r="H21" s="27">
        <f t="shared" si="4"/>
        <v>1759459.0322109256</v>
      </c>
    </row>
    <row r="22" spans="1:8" x14ac:dyDescent="0.25">
      <c r="A22" s="41" t="s">
        <v>11</v>
      </c>
      <c r="B22" s="219">
        <v>12671.61</v>
      </c>
      <c r="C22" s="39">
        <f>SUM('K '!L22,'1-3 '!J22,'4-6'!J22,'7-8 '!J22,'9-12 '!J22,'Special Ed (Simplified)'!I22,'Special Ed (Goal)'!T23)</f>
        <v>801.04198960022097</v>
      </c>
      <c r="D22" s="64">
        <f t="shared" si="0"/>
        <v>53.402799306681395</v>
      </c>
      <c r="E22" s="222">
        <f t="shared" si="1"/>
        <v>5554649.7744701514</v>
      </c>
      <c r="F22" s="247">
        <f t="shared" si="2"/>
        <v>53.402799306681395</v>
      </c>
      <c r="G22" s="220">
        <f t="shared" si="3"/>
        <v>2500757.1010681917</v>
      </c>
      <c r="H22" s="27">
        <f t="shared" si="4"/>
        <v>8055406.8755383436</v>
      </c>
    </row>
    <row r="23" spans="1:8" x14ac:dyDescent="0.25">
      <c r="A23" s="41" t="s">
        <v>12</v>
      </c>
      <c r="B23" s="219">
        <v>1256.76</v>
      </c>
      <c r="C23" s="39">
        <f>SUM('K '!L23,'1-3 '!J23,'4-6'!J23,'7-8 '!J23,'9-12 '!J23,'Special Ed (Simplified)'!I23,'Special Ed (Goal)'!T24)</f>
        <v>82.03054419581116</v>
      </c>
      <c r="D23" s="64">
        <f t="shared" si="0"/>
        <v>5.4687029463874106</v>
      </c>
      <c r="E23" s="222">
        <f t="shared" si="1"/>
        <v>568822.79547459143</v>
      </c>
      <c r="F23" s="247">
        <f t="shared" si="2"/>
        <v>5.4687029463874106</v>
      </c>
      <c r="G23" s="220">
        <f t="shared" si="3"/>
        <v>256089.52909515036</v>
      </c>
      <c r="H23" s="27">
        <f t="shared" si="4"/>
        <v>824912.32456974173</v>
      </c>
    </row>
    <row r="24" spans="1:8" x14ac:dyDescent="0.25">
      <c r="A24" s="41" t="s">
        <v>13</v>
      </c>
      <c r="B24" s="219">
        <v>638.25</v>
      </c>
      <c r="C24" s="39">
        <f>SUM('K '!L24,'1-3 '!J24,'4-6'!J24,'7-8 '!J24,'9-12 '!J24,'Special Ed (Simplified)'!I24,'Special Ed (Goal)'!T25)</f>
        <v>45.809135494692619</v>
      </c>
      <c r="D24" s="64">
        <f t="shared" si="0"/>
        <v>3.0539423663128411</v>
      </c>
      <c r="E24" s="222">
        <f t="shared" si="1"/>
        <v>317653.39076826442</v>
      </c>
      <c r="F24" s="247">
        <f t="shared" si="2"/>
        <v>3.0539423663128411</v>
      </c>
      <c r="G24" s="220">
        <f t="shared" si="3"/>
        <v>143010.63161410575</v>
      </c>
      <c r="H24" s="27">
        <f t="shared" si="4"/>
        <v>460664.0223823702</v>
      </c>
    </row>
    <row r="25" spans="1:8" x14ac:dyDescent="0.25">
      <c r="A25" s="41" t="s">
        <v>14</v>
      </c>
      <c r="B25" s="219">
        <v>587.14</v>
      </c>
      <c r="C25" s="39">
        <f>SUM('K '!L25,'1-3 '!J25,'4-6'!J25,'7-8 '!J25,'9-12 '!J25,'Special Ed (Simplified)'!I25,'Special Ed (Goal)'!T26)</f>
        <v>40.998846091204371</v>
      </c>
      <c r="D25" s="64">
        <f t="shared" si="0"/>
        <v>2.7332564060802915</v>
      </c>
      <c r="E25" s="222">
        <f t="shared" si="1"/>
        <v>284297.49520084588</v>
      </c>
      <c r="F25" s="247">
        <f t="shared" si="2"/>
        <v>2.7332564060802915</v>
      </c>
      <c r="G25" s="220">
        <f t="shared" si="3"/>
        <v>127993.48452301524</v>
      </c>
      <c r="H25" s="27">
        <f t="shared" si="4"/>
        <v>412290.97972386109</v>
      </c>
    </row>
    <row r="26" spans="1:8" x14ac:dyDescent="0.25">
      <c r="A26" s="41" t="s">
        <v>15</v>
      </c>
      <c r="B26" s="219">
        <v>822.79</v>
      </c>
      <c r="C26" s="39">
        <f>SUM('K '!L26,'1-3 '!J26,'4-6'!J26,'7-8 '!J26,'9-12 '!J26,'Special Ed (Simplified)'!I26,'Special Ed (Goal)'!T27)</f>
        <v>54.369716113994578</v>
      </c>
      <c r="D26" s="64">
        <f t="shared" si="0"/>
        <v>3.6246477409329718</v>
      </c>
      <c r="E26" s="222">
        <f t="shared" si="1"/>
        <v>377014.85723779449</v>
      </c>
      <c r="F26" s="247">
        <f t="shared" si="2"/>
        <v>3.6246477409329718</v>
      </c>
      <c r="G26" s="220">
        <f t="shared" si="3"/>
        <v>169735.7384760697</v>
      </c>
      <c r="H26" s="27">
        <f t="shared" si="4"/>
        <v>546750.5957138642</v>
      </c>
    </row>
    <row r="27" spans="1:8" x14ac:dyDescent="0.25">
      <c r="A27" s="41" t="s">
        <v>16</v>
      </c>
      <c r="B27" s="219">
        <v>2117.3200000000002</v>
      </c>
      <c r="C27" s="39">
        <f>SUM('K '!L27,'1-3 '!J27,'4-6'!J27,'7-8 '!J27,'9-12 '!J27,'Special Ed (Simplified)'!I27,'Special Ed (Goal)'!T28)</f>
        <v>140.96700045489638</v>
      </c>
      <c r="D27" s="64">
        <f t="shared" si="0"/>
        <v>9.397800030326426</v>
      </c>
      <c r="E27" s="222">
        <f t="shared" si="1"/>
        <v>977504.70942891517</v>
      </c>
      <c r="F27" s="247">
        <f t="shared" si="2"/>
        <v>9.397800030326426</v>
      </c>
      <c r="G27" s="220">
        <f t="shared" si="3"/>
        <v>440082.083062588</v>
      </c>
      <c r="H27" s="27">
        <f t="shared" si="4"/>
        <v>1417586.7924915031</v>
      </c>
    </row>
    <row r="28" spans="1:8" x14ac:dyDescent="0.25">
      <c r="A28" s="41" t="s">
        <v>17</v>
      </c>
      <c r="B28" s="219">
        <v>21287.25</v>
      </c>
      <c r="C28" s="39">
        <f>SUM('K '!L28,'1-3 '!J28,'4-6'!J28,'7-8 '!J28,'9-12 '!J28,'Special Ed (Simplified)'!I28,'Special Ed (Goal)'!T29)</f>
        <v>1276.8656224340612</v>
      </c>
      <c r="D28" s="64">
        <f t="shared" si="0"/>
        <v>85.124374828937405</v>
      </c>
      <c r="E28" s="222">
        <f t="shared" si="1"/>
        <v>8854144.2692932356</v>
      </c>
      <c r="F28" s="247">
        <f t="shared" si="2"/>
        <v>85.124374828937405</v>
      </c>
      <c r="G28" s="220">
        <f t="shared" si="3"/>
        <v>3986221.4638778712</v>
      </c>
      <c r="H28" s="27">
        <f t="shared" si="4"/>
        <v>12840365.733171107</v>
      </c>
    </row>
    <row r="29" spans="1:8" x14ac:dyDescent="0.25">
      <c r="A29" s="41" t="s">
        <v>18</v>
      </c>
      <c r="B29" s="219">
        <v>34520.18</v>
      </c>
      <c r="C29" s="39">
        <f>SUM('K '!L29,'1-3 '!J29,'4-6'!J29,'7-8 '!J29,'9-12 '!J29,'Special Ed (Simplified)'!I29,'Special Ed (Goal)'!T30)</f>
        <v>2112.1296814906145</v>
      </c>
      <c r="D29" s="64">
        <f t="shared" si="0"/>
        <v>140.80864543270764</v>
      </c>
      <c r="E29" s="222">
        <f t="shared" si="1"/>
        <v>14646099.46951565</v>
      </c>
      <c r="F29" s="247">
        <f t="shared" si="2"/>
        <v>140.80864543270764</v>
      </c>
      <c r="G29" s="220">
        <f t="shared" si="3"/>
        <v>6593815.7648897059</v>
      </c>
      <c r="H29" s="27">
        <f t="shared" si="4"/>
        <v>21239915.234405354</v>
      </c>
    </row>
    <row r="30" spans="1:8" x14ac:dyDescent="0.25">
      <c r="A30" s="41" t="s">
        <v>19</v>
      </c>
      <c r="B30" s="219">
        <v>1587.18</v>
      </c>
      <c r="C30" s="39">
        <f>SUM('K '!L30,'1-3 '!J30,'4-6'!J30,'7-8 '!J30,'9-12 '!J30,'Special Ed (Simplified)'!I30,'Special Ed (Goal)'!T31)</f>
        <v>106.40035626933674</v>
      </c>
      <c r="D30" s="64">
        <f t="shared" si="0"/>
        <v>7.0933570846224496</v>
      </c>
      <c r="E30" s="222">
        <f t="shared" si="1"/>
        <v>737809.90588268172</v>
      </c>
      <c r="F30" s="247">
        <f t="shared" si="2"/>
        <v>7.0933570846224496</v>
      </c>
      <c r="G30" s="220">
        <f t="shared" si="3"/>
        <v>332169.16210537683</v>
      </c>
      <c r="H30" s="27">
        <f t="shared" si="4"/>
        <v>1069979.0679880586</v>
      </c>
    </row>
    <row r="31" spans="1:8" x14ac:dyDescent="0.25">
      <c r="A31" s="41" t="s">
        <v>20</v>
      </c>
      <c r="B31" s="219">
        <v>46485.36</v>
      </c>
      <c r="C31" s="39">
        <f>SUM('K '!L31,'1-3 '!J31,'4-6'!J31,'7-8 '!J31,'9-12 '!J31,'Special Ed (Simplified)'!I31,'Special Ed (Goal)'!T32)</f>
        <v>2764.1147514120739</v>
      </c>
      <c r="D31" s="64">
        <f t="shared" si="0"/>
        <v>184.27431676080494</v>
      </c>
      <c r="E31" s="222">
        <f t="shared" si="1"/>
        <v>19167146.766180538</v>
      </c>
      <c r="F31" s="247">
        <f t="shared" si="2"/>
        <v>184.27431676080494</v>
      </c>
      <c r="G31" s="220">
        <f t="shared" si="3"/>
        <v>8629235.0245096032</v>
      </c>
      <c r="H31" s="27">
        <f t="shared" si="4"/>
        <v>27796381.790690139</v>
      </c>
    </row>
    <row r="32" spans="1:8" x14ac:dyDescent="0.25">
      <c r="A32" s="41" t="s">
        <v>21</v>
      </c>
      <c r="B32" s="219">
        <v>8259.2199999999993</v>
      </c>
      <c r="C32" s="39">
        <f>SUM('K '!L32,'1-3 '!J32,'4-6'!J32,'7-8 '!J32,'9-12 '!J32,'Special Ed (Simplified)'!I32,'Special Ed (Goal)'!T33)</f>
        <v>528.80302009104196</v>
      </c>
      <c r="D32" s="64">
        <f t="shared" si="0"/>
        <v>35.25353467273613</v>
      </c>
      <c r="E32" s="222">
        <f t="shared" si="1"/>
        <v>3666868.4219085425</v>
      </c>
      <c r="F32" s="247">
        <f t="shared" si="2"/>
        <v>35.25353467273613</v>
      </c>
      <c r="G32" s="220">
        <f t="shared" si="3"/>
        <v>1650859.6612007294</v>
      </c>
      <c r="H32" s="27">
        <f t="shared" si="4"/>
        <v>5317728.0831092717</v>
      </c>
    </row>
    <row r="33" spans="1:8" x14ac:dyDescent="0.25">
      <c r="A33" s="41" t="s">
        <v>22</v>
      </c>
      <c r="B33" s="219">
        <v>4970.04</v>
      </c>
      <c r="C33" s="39">
        <f>SUM('K '!L33,'1-3 '!J33,'4-6'!J33,'7-8 '!J33,'9-12 '!J33,'Special Ed (Simplified)'!I33,'Special Ed (Goal)'!T34)</f>
        <v>323.99397119970934</v>
      </c>
      <c r="D33" s="64">
        <f t="shared" si="0"/>
        <v>21.599598079980623</v>
      </c>
      <c r="E33" s="222">
        <f t="shared" si="1"/>
        <v>2246665.0468002609</v>
      </c>
      <c r="F33" s="247">
        <f t="shared" si="2"/>
        <v>21.599598079980623</v>
      </c>
      <c r="G33" s="220">
        <f t="shared" si="3"/>
        <v>1011470.3532399357</v>
      </c>
      <c r="H33" s="27">
        <f t="shared" si="4"/>
        <v>3258135.4000401967</v>
      </c>
    </row>
    <row r="34" spans="1:8" x14ac:dyDescent="0.25">
      <c r="A34" s="41" t="s">
        <v>23</v>
      </c>
      <c r="B34" s="219">
        <v>6691.02</v>
      </c>
      <c r="C34" s="39">
        <f>SUM('K '!L34,'1-3 '!J34,'4-6'!J34,'7-8 '!J34,'9-12 '!J34,'Special Ed (Simplified)'!I34,'Special Ed (Goal)'!T35)</f>
        <v>423.81762826024436</v>
      </c>
      <c r="D34" s="64">
        <f t="shared" si="0"/>
        <v>28.254508550682957</v>
      </c>
      <c r="E34" s="222">
        <f t="shared" si="1"/>
        <v>2938870.2762100394</v>
      </c>
      <c r="F34" s="247">
        <f t="shared" si="2"/>
        <v>28.254508550682957</v>
      </c>
      <c r="G34" s="220">
        <f t="shared" si="3"/>
        <v>1323107.848514453</v>
      </c>
      <c r="H34" s="27">
        <f t="shared" si="4"/>
        <v>4261978.1247244924</v>
      </c>
    </row>
    <row r="35" spans="1:8" x14ac:dyDescent="0.25">
      <c r="A35" s="41" t="s">
        <v>24</v>
      </c>
      <c r="B35" s="219">
        <v>710.4</v>
      </c>
      <c r="C35" s="39">
        <f>SUM('K '!L35,'1-3 '!J35,'4-6'!J35,'7-8 '!J35,'9-12 '!J35,'Special Ed (Simplified)'!I35,'Special Ed (Goal)'!T36)</f>
        <v>50.999651942508052</v>
      </c>
      <c r="D35" s="64">
        <f t="shared" si="0"/>
        <v>3.3999767961672034</v>
      </c>
      <c r="E35" s="222">
        <f t="shared" si="1"/>
        <v>353645.8872797527</v>
      </c>
      <c r="F35" s="247">
        <f t="shared" si="2"/>
        <v>3.3999767961672034</v>
      </c>
      <c r="G35" s="220">
        <f t="shared" si="3"/>
        <v>159214.80197421854</v>
      </c>
      <c r="H35" s="27">
        <f t="shared" si="4"/>
        <v>512860.68925397121</v>
      </c>
    </row>
    <row r="36" spans="1:8" x14ac:dyDescent="0.25">
      <c r="A36" s="41" t="s">
        <v>25</v>
      </c>
      <c r="B36" s="219">
        <v>2753.54</v>
      </c>
      <c r="C36" s="39">
        <f>SUM('K '!L36,'1-3 '!J36,'4-6'!J36,'7-8 '!J36,'9-12 '!J36,'Special Ed (Simplified)'!I36,'Special Ed (Goal)'!T37)</f>
        <v>191.52168271607982</v>
      </c>
      <c r="D36" s="64">
        <f t="shared" si="0"/>
        <v>12.768112181071988</v>
      </c>
      <c r="E36" s="222">
        <f t="shared" si="1"/>
        <v>1328065.0521653045</v>
      </c>
      <c r="F36" s="247">
        <f t="shared" si="2"/>
        <v>12.768112181071988</v>
      </c>
      <c r="G36" s="220">
        <f t="shared" si="3"/>
        <v>597907.74301331793</v>
      </c>
      <c r="H36" s="27">
        <f t="shared" si="4"/>
        <v>1925972.7951786225</v>
      </c>
    </row>
    <row r="37" spans="1:8" x14ac:dyDescent="0.25">
      <c r="A37" s="41" t="s">
        <v>26</v>
      </c>
      <c r="B37" s="219">
        <v>1253.3399999999999</v>
      </c>
      <c r="C37" s="39">
        <f>SUM('K '!L37,'1-3 '!J37,'4-6'!J37,'7-8 '!J37,'9-12 '!J37,'Special Ed (Simplified)'!I37,'Special Ed (Goal)'!T38)</f>
        <v>79.075226998598168</v>
      </c>
      <c r="D37" s="64">
        <f t="shared" si="0"/>
        <v>5.2716817999065446</v>
      </c>
      <c r="E37" s="222">
        <f t="shared" si="1"/>
        <v>548329.7973345319</v>
      </c>
      <c r="F37" s="247">
        <f t="shared" si="2"/>
        <v>5.2716817999065446</v>
      </c>
      <c r="G37" s="220">
        <f t="shared" si="3"/>
        <v>246863.38294702178</v>
      </c>
      <c r="H37" s="27">
        <f t="shared" si="4"/>
        <v>795193.18028155365</v>
      </c>
    </row>
    <row r="38" spans="1:8" x14ac:dyDescent="0.25">
      <c r="A38" s="41" t="s">
        <v>27</v>
      </c>
      <c r="B38" s="219">
        <v>5263.6</v>
      </c>
      <c r="C38" s="39">
        <f>SUM('K '!L38,'1-3 '!J38,'4-6'!J38,'7-8 '!J38,'9-12 '!J38,'Special Ed (Simplified)'!I38,'Special Ed (Goal)'!T39)</f>
        <v>356.3103139110159</v>
      </c>
      <c r="D38" s="64">
        <f t="shared" si="0"/>
        <v>23.754020927401061</v>
      </c>
      <c r="E38" s="222">
        <f t="shared" si="1"/>
        <v>2470755.6289214878</v>
      </c>
      <c r="F38" s="247">
        <f t="shared" si="2"/>
        <v>23.754020927401061</v>
      </c>
      <c r="G38" s="220">
        <f t="shared" si="3"/>
        <v>1112358.102652655</v>
      </c>
      <c r="H38" s="27">
        <f t="shared" si="4"/>
        <v>3583113.7315741428</v>
      </c>
    </row>
    <row r="39" spans="1:8" x14ac:dyDescent="0.25">
      <c r="A39" s="41" t="s">
        <v>28</v>
      </c>
      <c r="B39" s="219">
        <v>9606.7099999999991</v>
      </c>
      <c r="C39" s="39">
        <f>SUM('K '!L39,'1-3 '!J39,'4-6'!J39,'7-8 '!J39,'9-12 '!J39,'Special Ed (Simplified)'!I39,'Special Ed (Goal)'!T40)</f>
        <v>628.57094535922454</v>
      </c>
      <c r="D39" s="64">
        <f t="shared" si="0"/>
        <v>41.904729690614971</v>
      </c>
      <c r="E39" s="222">
        <f t="shared" si="1"/>
        <v>4358687.1914425092</v>
      </c>
      <c r="F39" s="247">
        <f t="shared" si="2"/>
        <v>41.904729690614971</v>
      </c>
      <c r="G39" s="220">
        <f t="shared" si="3"/>
        <v>1962323.1684979748</v>
      </c>
      <c r="H39" s="27">
        <f t="shared" si="4"/>
        <v>6321010.3599404842</v>
      </c>
    </row>
    <row r="40" spans="1:8" x14ac:dyDescent="0.25">
      <c r="A40" s="41" t="s">
        <v>29</v>
      </c>
      <c r="B40" s="219">
        <v>1528.03</v>
      </c>
      <c r="C40" s="39">
        <f>SUM('K '!L40,'1-3 '!J40,'4-6'!J40,'7-8 '!J40,'9-12 '!J40,'Special Ed (Simplified)'!I40,'Special Ed (Goal)'!T41)</f>
        <v>96.869535627030857</v>
      </c>
      <c r="D40" s="64">
        <f t="shared" si="0"/>
        <v>6.4579690418020572</v>
      </c>
      <c r="E40" s="222">
        <f t="shared" si="1"/>
        <v>671720.52303057804</v>
      </c>
      <c r="F40" s="247">
        <f t="shared" si="2"/>
        <v>6.4579690418020572</v>
      </c>
      <c r="G40" s="220">
        <f t="shared" si="3"/>
        <v>302415.08215739706</v>
      </c>
      <c r="H40" s="27">
        <f t="shared" si="4"/>
        <v>974135.6051879751</v>
      </c>
    </row>
    <row r="41" spans="1:8" x14ac:dyDescent="0.25">
      <c r="A41" s="41" t="s">
        <v>30</v>
      </c>
      <c r="B41" s="219">
        <v>3982.19</v>
      </c>
      <c r="C41" s="39">
        <f>SUM('K '!L41,'1-3 '!J41,'4-6'!J41,'7-8 '!J41,'9-12 '!J41,'Special Ed (Simplified)'!I41,'Special Ed (Goal)'!T42)</f>
        <v>254.62900691202441</v>
      </c>
      <c r="D41" s="64">
        <f t="shared" si="0"/>
        <v>16.975267127468292</v>
      </c>
      <c r="E41" s="222">
        <f t="shared" si="1"/>
        <v>1765668.9339385473</v>
      </c>
      <c r="F41" s="247">
        <f t="shared" si="2"/>
        <v>16.975267127468292</v>
      </c>
      <c r="G41" s="220">
        <f t="shared" si="3"/>
        <v>794921.24687618378</v>
      </c>
      <c r="H41" s="27">
        <f t="shared" si="4"/>
        <v>2560590.1808147309</v>
      </c>
    </row>
    <row r="42" spans="1:8" x14ac:dyDescent="0.25">
      <c r="A42" s="41" t="s">
        <v>31</v>
      </c>
      <c r="B42" s="219">
        <v>25440.37</v>
      </c>
      <c r="C42" s="39">
        <f>SUM('K '!L42,'1-3 '!J42,'4-6'!J42,'7-8 '!J42,'9-12 '!J42,'Special Ed (Simplified)'!I42,'Special Ed (Goal)'!T43)</f>
        <v>1527.730696952847</v>
      </c>
      <c r="D42" s="64">
        <f t="shared" si="0"/>
        <v>101.84871313018979</v>
      </c>
      <c r="E42" s="222">
        <f t="shared" si="1"/>
        <v>10593713.040580312</v>
      </c>
      <c r="F42" s="247">
        <f t="shared" si="2"/>
        <v>101.84871313018979</v>
      </c>
      <c r="G42" s="220">
        <f t="shared" si="3"/>
        <v>4769392.164861911</v>
      </c>
      <c r="H42" s="27">
        <f t="shared" si="4"/>
        <v>15363105.205442224</v>
      </c>
    </row>
    <row r="43" spans="1:8" x14ac:dyDescent="0.25">
      <c r="A43" s="41" t="s">
        <v>32</v>
      </c>
      <c r="B43" s="219">
        <v>2145.29</v>
      </c>
      <c r="C43" s="39">
        <f>SUM('K '!L43,'1-3 '!J43,'4-6'!J43,'7-8 '!J43,'9-12 '!J43,'Special Ed (Simplified)'!I43,'Special Ed (Goal)'!T44)</f>
        <v>146.11211686524993</v>
      </c>
      <c r="D43" s="64">
        <f t="shared" si="0"/>
        <v>9.7408077910166622</v>
      </c>
      <c r="E43" s="222">
        <f t="shared" si="1"/>
        <v>1013182.389350109</v>
      </c>
      <c r="F43" s="247">
        <f t="shared" si="2"/>
        <v>9.7408077910166622</v>
      </c>
      <c r="G43" s="220">
        <f t="shared" si="3"/>
        <v>456144.51994612208</v>
      </c>
      <c r="H43" s="27">
        <f t="shared" si="4"/>
        <v>1469326.9092962311</v>
      </c>
    </row>
    <row r="44" spans="1:8" x14ac:dyDescent="0.25">
      <c r="A44" s="41" t="s">
        <v>33</v>
      </c>
      <c r="B44" s="219">
        <v>3224.83</v>
      </c>
      <c r="C44" s="39">
        <f>SUM('K '!L44,'1-3 '!J44,'4-6'!J44,'7-8 '!J44,'9-12 '!J44,'Special Ed (Simplified)'!I44,'Special Ed (Goal)'!T45)</f>
        <v>201.0773132284817</v>
      </c>
      <c r="D44" s="64">
        <f t="shared" si="0"/>
        <v>13.405154215232113</v>
      </c>
      <c r="E44" s="222">
        <f t="shared" si="1"/>
        <v>1394326.4736135399</v>
      </c>
      <c r="F44" s="247">
        <f t="shared" si="2"/>
        <v>13.405154215232113</v>
      </c>
      <c r="G44" s="220">
        <f t="shared" si="3"/>
        <v>627739.27640272107</v>
      </c>
      <c r="H44" s="27">
        <f t="shared" si="4"/>
        <v>2022065.7500162609</v>
      </c>
    </row>
    <row r="45" spans="1:8" x14ac:dyDescent="0.25">
      <c r="A45" s="41" t="s">
        <v>34</v>
      </c>
      <c r="B45" s="219">
        <v>2373.3200000000002</v>
      </c>
      <c r="C45" s="39">
        <f>SUM('K '!L45,'1-3 '!J45,'4-6'!J45,'7-8 '!J45,'9-12 '!J45,'Special Ed (Simplified)'!I45,'Special Ed (Goal)'!T46)</f>
        <v>161.6371638829703</v>
      </c>
      <c r="D45" s="64">
        <f t="shared" si="0"/>
        <v>10.775810925531353</v>
      </c>
      <c r="E45" s="222">
        <f t="shared" si="1"/>
        <v>1120837.4187183662</v>
      </c>
      <c r="F45" s="247">
        <f t="shared" si="2"/>
        <v>10.775810925531353</v>
      </c>
      <c r="G45" s="220">
        <f t="shared" si="3"/>
        <v>504611.85633801081</v>
      </c>
      <c r="H45" s="27">
        <f t="shared" si="4"/>
        <v>1625449.2750563771</v>
      </c>
    </row>
    <row r="46" spans="1:8" x14ac:dyDescent="0.25">
      <c r="A46" s="41" t="s">
        <v>35</v>
      </c>
      <c r="B46" s="219">
        <v>15667.43</v>
      </c>
      <c r="C46" s="39">
        <f>SUM('K '!L46,'1-3 '!J46,'4-6'!J46,'7-8 '!J46,'9-12 '!J46,'Special Ed (Simplified)'!I46,'Special Ed (Goal)'!T47)</f>
        <v>1012.3163260333185</v>
      </c>
      <c r="D46" s="64">
        <f t="shared" si="0"/>
        <v>67.487755068887907</v>
      </c>
      <c r="E46" s="222">
        <f t="shared" si="1"/>
        <v>7019685.2663113819</v>
      </c>
      <c r="F46" s="247">
        <f t="shared" si="2"/>
        <v>67.487755068887907</v>
      </c>
      <c r="G46" s="220">
        <f t="shared" si="3"/>
        <v>3160330.2619860396</v>
      </c>
      <c r="H46" s="27">
        <f t="shared" si="4"/>
        <v>10180015.528297421</v>
      </c>
    </row>
    <row r="47" spans="1:8" x14ac:dyDescent="0.25">
      <c r="A47" s="41" t="s">
        <v>36</v>
      </c>
      <c r="B47" s="219">
        <v>1091.3900000000001</v>
      </c>
      <c r="C47" s="39">
        <f>SUM('K '!L47,'1-3 '!J47,'4-6'!J47,'7-8 '!J47,'9-12 '!J47,'Special Ed (Simplified)'!I47,'Special Ed (Goal)'!T48)</f>
        <v>72.559771072292165</v>
      </c>
      <c r="D47" s="64">
        <f t="shared" si="0"/>
        <v>4.8373180714861439</v>
      </c>
      <c r="E47" s="222">
        <f t="shared" si="1"/>
        <v>503149.79895556066</v>
      </c>
      <c r="F47" s="247">
        <f t="shared" si="2"/>
        <v>4.8373180714861439</v>
      </c>
      <c r="G47" s="220">
        <f t="shared" si="3"/>
        <v>226522.91030520899</v>
      </c>
      <c r="H47" s="27">
        <f t="shared" si="4"/>
        <v>729672.70926076965</v>
      </c>
    </row>
    <row r="48" spans="1:8" x14ac:dyDescent="0.25">
      <c r="A48" s="41" t="s">
        <v>37</v>
      </c>
      <c r="B48" s="219">
        <v>3269.06</v>
      </c>
      <c r="C48" s="39">
        <f>SUM('K '!L48,'1-3 '!J48,'4-6'!J48,'7-8 '!J48,'9-12 '!J48,'Special Ed (Simplified)'!I48,'Special Ed (Goal)'!T49)</f>
        <v>229.38585763442126</v>
      </c>
      <c r="D48" s="64">
        <f t="shared" si="0"/>
        <v>15.292390508961416</v>
      </c>
      <c r="E48" s="222">
        <f t="shared" si="1"/>
        <v>1590625.8584666445</v>
      </c>
      <c r="F48" s="247">
        <f t="shared" si="2"/>
        <v>15.292390508961416</v>
      </c>
      <c r="G48" s="220">
        <f t="shared" si="3"/>
        <v>716115.15976857103</v>
      </c>
      <c r="H48" s="27">
        <f t="shared" si="4"/>
        <v>2306741.0182352155</v>
      </c>
    </row>
    <row r="49" spans="1:8" x14ac:dyDescent="0.25">
      <c r="A49" s="41" t="s">
        <v>38</v>
      </c>
      <c r="B49" s="219">
        <v>656.05</v>
      </c>
      <c r="C49" s="39">
        <f>SUM('K '!L49,'1-3 '!J49,'4-6'!J49,'7-8 '!J49,'9-12 '!J49,'Special Ed (Simplified)'!I49,'Special Ed (Goal)'!T50)</f>
        <v>47.00309232669801</v>
      </c>
      <c r="D49" s="64">
        <f t="shared" si="0"/>
        <v>3.1335394884465342</v>
      </c>
      <c r="E49" s="222">
        <f t="shared" si="1"/>
        <v>325932.62223643716</v>
      </c>
      <c r="F49" s="247">
        <f t="shared" si="2"/>
        <v>3.1335394884465342</v>
      </c>
      <c r="G49" s="220">
        <f t="shared" si="3"/>
        <v>146738.02176939149</v>
      </c>
      <c r="H49" s="27">
        <f t="shared" si="4"/>
        <v>472670.64400582865</v>
      </c>
    </row>
    <row r="50" spans="1:8" x14ac:dyDescent="0.25">
      <c r="A50" s="41" t="s">
        <v>39</v>
      </c>
      <c r="B50" s="219">
        <v>1181.8699999999999</v>
      </c>
      <c r="C50" s="39">
        <f>SUM('K '!L50,'1-3 '!J50,'4-6'!J50,'7-8 '!J50,'9-12 '!J50,'Special Ed (Simplified)'!I50,'Special Ed (Goal)'!T51)</f>
        <v>80.357223320349661</v>
      </c>
      <c r="D50" s="64">
        <f t="shared" si="0"/>
        <v>5.3571482213566437</v>
      </c>
      <c r="E50" s="222">
        <f t="shared" si="1"/>
        <v>557219.51931158139</v>
      </c>
      <c r="F50" s="247">
        <f t="shared" si="2"/>
        <v>5.3571482213566437</v>
      </c>
      <c r="G50" s="220">
        <f t="shared" si="3"/>
        <v>250865.62183934668</v>
      </c>
      <c r="H50" s="27">
        <f t="shared" si="4"/>
        <v>808085.1411509281</v>
      </c>
    </row>
    <row r="51" spans="1:8" x14ac:dyDescent="0.25">
      <c r="A51" s="41" t="s">
        <v>40</v>
      </c>
      <c r="B51" s="219">
        <v>8929.7900000000009</v>
      </c>
      <c r="C51" s="39">
        <f>SUM('K '!L51,'1-3 '!J51,'4-6'!J51,'7-8 '!J51,'9-12 '!J51,'Special Ed (Simplified)'!I51,'Special Ed (Goal)'!T52)</f>
        <v>578.11903723727858</v>
      </c>
      <c r="D51" s="64">
        <f t="shared" si="0"/>
        <v>38.541269149151908</v>
      </c>
      <c r="E51" s="222">
        <f t="shared" si="1"/>
        <v>4008839.5134062837</v>
      </c>
      <c r="F51" s="247">
        <f t="shared" si="2"/>
        <v>38.541269149151908</v>
      </c>
      <c r="G51" s="220">
        <f t="shared" si="3"/>
        <v>1804818.3570943137</v>
      </c>
      <c r="H51" s="27">
        <f t="shared" si="4"/>
        <v>5813657.8705005972</v>
      </c>
    </row>
    <row r="52" spans="1:8" x14ac:dyDescent="0.25">
      <c r="A52" s="41" t="s">
        <v>41</v>
      </c>
      <c r="B52" s="219">
        <v>74161.66</v>
      </c>
      <c r="C52" s="39">
        <f>SUM('K '!L52,'1-3 '!J52,'4-6'!J52,'7-8 '!J52,'9-12 '!J52,'Special Ed (Simplified)'!I52,'Special Ed (Goal)'!T53)</f>
        <v>4623.1873666764677</v>
      </c>
      <c r="D52" s="64">
        <f t="shared" si="0"/>
        <v>308.21249111176451</v>
      </c>
      <c r="E52" s="222">
        <f t="shared" si="1"/>
        <v>32058477.579257742</v>
      </c>
      <c r="F52" s="247">
        <f t="shared" si="2"/>
        <v>308.21249111176451</v>
      </c>
      <c r="G52" s="220">
        <f t="shared" si="3"/>
        <v>14433036.952975407</v>
      </c>
      <c r="H52" s="27">
        <f t="shared" si="4"/>
        <v>46491514.532233149</v>
      </c>
    </row>
    <row r="53" spans="1:8" x14ac:dyDescent="0.25">
      <c r="A53" s="41" t="s">
        <v>42</v>
      </c>
      <c r="B53" s="219">
        <v>8515.0300000000007</v>
      </c>
      <c r="C53" s="39">
        <f>SUM('K '!L53,'1-3 '!J53,'4-6'!J53,'7-8 '!J53,'9-12 '!J53,'Special Ed (Simplified)'!I53,'Special Ed (Goal)'!T54)</f>
        <v>538.57928580357475</v>
      </c>
      <c r="D53" s="64">
        <f t="shared" si="0"/>
        <v>35.905285720238318</v>
      </c>
      <c r="E53" s="222">
        <f t="shared" si="1"/>
        <v>3734659.789702361</v>
      </c>
      <c r="F53" s="247">
        <f t="shared" si="2"/>
        <v>35.905285720238318</v>
      </c>
      <c r="G53" s="220">
        <f t="shared" si="3"/>
        <v>1681379.9912457839</v>
      </c>
      <c r="H53" s="27">
        <f t="shared" si="4"/>
        <v>5416039.7809481453</v>
      </c>
    </row>
    <row r="54" spans="1:8" x14ac:dyDescent="0.25">
      <c r="A54" s="41" t="s">
        <v>43</v>
      </c>
      <c r="B54" s="219">
        <v>898.58</v>
      </c>
      <c r="C54" s="39">
        <f>SUM('K '!L54,'1-3 '!J54,'4-6'!J54,'7-8 '!J54,'9-12 '!J54,'Special Ed (Simplified)'!I54,'Special Ed (Goal)'!T55)</f>
        <v>59.831890812739687</v>
      </c>
      <c r="D54" s="64">
        <f t="shared" si="0"/>
        <v>3.9887927208493124</v>
      </c>
      <c r="E54" s="222">
        <f t="shared" si="1"/>
        <v>414891.10823637602</v>
      </c>
      <c r="F54" s="247">
        <f t="shared" si="2"/>
        <v>3.9887927208493124</v>
      </c>
      <c r="G54" s="220">
        <f t="shared" si="3"/>
        <v>186787.99334223341</v>
      </c>
      <c r="H54" s="27">
        <f t="shared" si="4"/>
        <v>601679.10157860944</v>
      </c>
    </row>
    <row r="55" spans="1:8" x14ac:dyDescent="0.25">
      <c r="A55" s="41" t="s">
        <v>44</v>
      </c>
      <c r="B55" s="219">
        <v>1516.32</v>
      </c>
      <c r="C55" s="39">
        <f>SUM('K '!L55,'1-3 '!J55,'4-6'!J55,'7-8 '!J55,'9-12 '!J55,'Special Ed (Simplified)'!I55,'Special Ed (Goal)'!T56)</f>
        <v>94.092821757973198</v>
      </c>
      <c r="D55" s="64">
        <f t="shared" si="0"/>
        <v>6.2728547838648803</v>
      </c>
      <c r="E55" s="222">
        <f t="shared" si="1"/>
        <v>652466.01044974977</v>
      </c>
      <c r="F55" s="247">
        <f t="shared" si="2"/>
        <v>6.2728547838648803</v>
      </c>
      <c r="G55" s="220">
        <f t="shared" si="3"/>
        <v>293746.51419737545</v>
      </c>
      <c r="H55" s="27">
        <f t="shared" si="4"/>
        <v>946212.52464712528</v>
      </c>
    </row>
    <row r="56" spans="1:8" x14ac:dyDescent="0.25">
      <c r="A56" s="41" t="s">
        <v>45</v>
      </c>
      <c r="B56" s="219">
        <v>2087.65</v>
      </c>
      <c r="C56" s="39">
        <f>SUM('K '!L56,'1-3 '!J56,'4-6'!J56,'7-8 '!J56,'9-12 '!J56,'Special Ed (Simplified)'!I56,'Special Ed (Goal)'!T57)</f>
        <v>132.80214293607324</v>
      </c>
      <c r="D56" s="64">
        <f t="shared" si="0"/>
        <v>8.8534761957382155</v>
      </c>
      <c r="E56" s="222">
        <f t="shared" si="1"/>
        <v>920887.29790202819</v>
      </c>
      <c r="F56" s="247">
        <f t="shared" si="2"/>
        <v>8.8534761957382155</v>
      </c>
      <c r="G56" s="220">
        <f t="shared" si="3"/>
        <v>414592.37630002829</v>
      </c>
      <c r="H56" s="27">
        <f t="shared" si="4"/>
        <v>1335479.6742020566</v>
      </c>
    </row>
    <row r="57" spans="1:8" x14ac:dyDescent="0.25">
      <c r="A57" s="41" t="s">
        <v>46</v>
      </c>
      <c r="B57" s="219">
        <v>662.1</v>
      </c>
      <c r="C57" s="39">
        <f>SUM('K '!L57,'1-3 '!J57,'4-6'!J57,'7-8 '!J57,'9-12 '!J57,'Special Ed (Simplified)'!I57,'Special Ed (Goal)'!T58)</f>
        <v>46.417643808441795</v>
      </c>
      <c r="D57" s="64">
        <f t="shared" si="0"/>
        <v>3.094509587229453</v>
      </c>
      <c r="E57" s="222">
        <f t="shared" si="1"/>
        <v>321872.95804640045</v>
      </c>
      <c r="F57" s="247">
        <f t="shared" si="2"/>
        <v>3.094509587229453</v>
      </c>
      <c r="G57" s="220">
        <f t="shared" si="3"/>
        <v>144910.32165086243</v>
      </c>
      <c r="H57" s="27">
        <f t="shared" si="4"/>
        <v>466783.27969726291</v>
      </c>
    </row>
    <row r="58" spans="1:8" x14ac:dyDescent="0.25">
      <c r="A58" s="41" t="s">
        <v>47</v>
      </c>
      <c r="B58" s="219">
        <v>43529.94</v>
      </c>
      <c r="C58" s="39">
        <f>SUM('K '!L58,'1-3 '!J58,'4-6'!J58,'7-8 '!J58,'9-12 '!J58,'Special Ed (Simplified)'!I58,'Special Ed (Goal)'!T59)</f>
        <v>2762.3715365825342</v>
      </c>
      <c r="D58" s="64">
        <f t="shared" si="0"/>
        <v>184.15810243883561</v>
      </c>
      <c r="E58" s="222">
        <f t="shared" si="1"/>
        <v>19155058.825741123</v>
      </c>
      <c r="F58" s="247">
        <f t="shared" si="2"/>
        <v>184.15810243883561</v>
      </c>
      <c r="G58" s="220">
        <f t="shared" si="3"/>
        <v>8623792.9167046994</v>
      </c>
      <c r="H58" s="27">
        <f t="shared" si="4"/>
        <v>27778851.742445823</v>
      </c>
    </row>
    <row r="59" spans="1:8" x14ac:dyDescent="0.25">
      <c r="A59" s="41" t="s">
        <v>48</v>
      </c>
      <c r="B59" s="219">
        <v>2404.8000000000002</v>
      </c>
      <c r="C59" s="39">
        <f>SUM('K '!L59,'1-3 '!J59,'4-6'!J59,'7-8 '!J59,'9-12 '!J59,'Special Ed (Simplified)'!I59,'Special Ed (Goal)'!T60)</f>
        <v>157.47193263687396</v>
      </c>
      <c r="D59" s="64">
        <f t="shared" si="0"/>
        <v>10.498128842458264</v>
      </c>
      <c r="E59" s="222">
        <f t="shared" si="1"/>
        <v>1091954.537293771</v>
      </c>
      <c r="F59" s="247">
        <f t="shared" si="2"/>
        <v>10.498128842458264</v>
      </c>
      <c r="G59" s="220">
        <f t="shared" si="3"/>
        <v>491608.50351568876</v>
      </c>
      <c r="H59" s="27">
        <f t="shared" si="4"/>
        <v>1583563.0408094598</v>
      </c>
    </row>
    <row r="60" spans="1:8" x14ac:dyDescent="0.25">
      <c r="A60" s="41" t="s">
        <v>49</v>
      </c>
      <c r="B60" s="219">
        <v>10525.82</v>
      </c>
      <c r="C60" s="39">
        <f>SUM('K '!L60,'1-3 '!J60,'4-6'!J60,'7-8 '!J60,'9-12 '!J60,'Special Ed (Simplified)'!I60,'Special Ed (Goal)'!T61)</f>
        <v>658.74124712308719</v>
      </c>
      <c r="D60" s="64">
        <f t="shared" si="0"/>
        <v>43.916083141539147</v>
      </c>
      <c r="E60" s="222">
        <f t="shared" si="1"/>
        <v>4567896.5238671098</v>
      </c>
      <c r="F60" s="247">
        <f t="shared" si="2"/>
        <v>43.916083141539147</v>
      </c>
      <c r="G60" s="220">
        <f t="shared" si="3"/>
        <v>2056511.235237153</v>
      </c>
      <c r="H60" s="27">
        <f t="shared" si="4"/>
        <v>6624407.759104263</v>
      </c>
    </row>
    <row r="61" spans="1:8" x14ac:dyDescent="0.25">
      <c r="A61" s="41" t="s">
        <v>50</v>
      </c>
      <c r="B61" s="219">
        <v>13258.42</v>
      </c>
      <c r="C61" s="39">
        <f>SUM('K '!L61,'1-3 '!J61,'4-6'!J61,'7-8 '!J61,'9-12 '!J61,'Special Ed (Simplified)'!I61,'Special Ed (Goal)'!T62)</f>
        <v>823.22719537790726</v>
      </c>
      <c r="D61" s="64">
        <f t="shared" si="0"/>
        <v>54.881813025193814</v>
      </c>
      <c r="E61" s="222">
        <f t="shared" si="1"/>
        <v>5708488.2122418107</v>
      </c>
      <c r="F61" s="247">
        <f t="shared" si="2"/>
        <v>54.881813025193814</v>
      </c>
      <c r="G61" s="220">
        <f t="shared" si="3"/>
        <v>2570016.6550085498</v>
      </c>
      <c r="H61" s="27">
        <f t="shared" si="4"/>
        <v>8278504.8672503605</v>
      </c>
    </row>
    <row r="62" spans="1:8" x14ac:dyDescent="0.25">
      <c r="A62" s="41" t="s">
        <v>51</v>
      </c>
      <c r="B62" s="219">
        <v>5388.16</v>
      </c>
      <c r="C62" s="39">
        <f>SUM('K '!L62,'1-3 '!J62,'4-6'!J62,'7-8 '!J62,'9-12 '!J62,'Special Ed (Simplified)'!I62,'Special Ed (Goal)'!T63)</f>
        <v>354.41748622057878</v>
      </c>
      <c r="D62" s="64">
        <f t="shared" si="0"/>
        <v>23.627832414705253</v>
      </c>
      <c r="E62" s="222">
        <f t="shared" si="1"/>
        <v>2457630.2309519695</v>
      </c>
      <c r="F62" s="247">
        <f t="shared" si="2"/>
        <v>23.627832414705253</v>
      </c>
      <c r="G62" s="220">
        <f t="shared" si="3"/>
        <v>1106448.9214244382</v>
      </c>
      <c r="H62" s="27">
        <f t="shared" si="4"/>
        <v>3564079.1523764078</v>
      </c>
    </row>
    <row r="63" spans="1:8" x14ac:dyDescent="0.25">
      <c r="A63" s="41" t="s">
        <v>52</v>
      </c>
      <c r="B63" s="219">
        <v>2979.52</v>
      </c>
      <c r="C63" s="39">
        <f>SUM('K '!L63,'1-3 '!J63,'4-6'!J63,'7-8 '!J63,'9-12 '!J63,'Special Ed (Simplified)'!I63,'Special Ed (Goal)'!T64)</f>
        <v>204.268289794861</v>
      </c>
      <c r="D63" s="64">
        <f t="shared" si="0"/>
        <v>13.617885986324067</v>
      </c>
      <c r="E63" s="222">
        <f t="shared" si="1"/>
        <v>1416453.5999001712</v>
      </c>
      <c r="F63" s="247">
        <f t="shared" si="2"/>
        <v>13.617885986324067</v>
      </c>
      <c r="G63" s="220">
        <f t="shared" si="3"/>
        <v>637701.12286185334</v>
      </c>
      <c r="H63" s="27">
        <f t="shared" si="4"/>
        <v>2054154.7227620245</v>
      </c>
    </row>
    <row r="64" spans="1:8" x14ac:dyDescent="0.25">
      <c r="A64" s="41" t="s">
        <v>53</v>
      </c>
      <c r="B64" s="219">
        <v>1729.85</v>
      </c>
      <c r="C64" s="39">
        <f>SUM('K '!L64,'1-3 '!J64,'4-6'!J64,'7-8 '!J64,'9-12 '!J64,'Special Ed (Simplified)'!I64,'Special Ed (Goal)'!T65)</f>
        <v>116.09531896309257</v>
      </c>
      <c r="D64" s="64">
        <f t="shared" si="0"/>
        <v>7.7396879308728375</v>
      </c>
      <c r="E64" s="222">
        <f t="shared" si="1"/>
        <v>805037.49574628368</v>
      </c>
      <c r="F64" s="247">
        <f t="shared" si="2"/>
        <v>7.7396879308728375</v>
      </c>
      <c r="G64" s="220">
        <f t="shared" si="3"/>
        <v>362435.67386851297</v>
      </c>
      <c r="H64" s="27">
        <f t="shared" si="4"/>
        <v>1167473.1696147965</v>
      </c>
    </row>
    <row r="65" spans="1:8" x14ac:dyDescent="0.25">
      <c r="A65" s="41" t="s">
        <v>54</v>
      </c>
      <c r="B65" s="219">
        <v>25998.85</v>
      </c>
      <c r="C65" s="39">
        <f>SUM('K '!L65,'1-3 '!J65,'4-6'!J65,'7-8 '!J65,'9-12 '!J65,'Special Ed (Simplified)'!I65,'Special Ed (Goal)'!T66)</f>
        <v>1555.4353164684669</v>
      </c>
      <c r="D65" s="64">
        <f t="shared" si="0"/>
        <v>103.69568776456445</v>
      </c>
      <c r="E65" s="222">
        <f t="shared" si="1"/>
        <v>10785824.640898569</v>
      </c>
      <c r="F65" s="247">
        <f t="shared" si="2"/>
        <v>103.69568776456445</v>
      </c>
      <c r="G65" s="220">
        <f t="shared" si="3"/>
        <v>4855882.66708971</v>
      </c>
      <c r="H65" s="27">
        <f t="shared" si="4"/>
        <v>15641707.307988279</v>
      </c>
    </row>
    <row r="66" spans="1:8" x14ac:dyDescent="0.25">
      <c r="A66" s="41" t="s">
        <v>55</v>
      </c>
      <c r="B66" s="219">
        <v>8632.56</v>
      </c>
      <c r="C66" s="39">
        <f>SUM('K '!L66,'1-3 '!J66,'4-6'!J66,'7-8 '!J66,'9-12 '!J66,'Special Ed (Simplified)'!I66,'Special Ed (Goal)'!T67)</f>
        <v>570.37431372194874</v>
      </c>
      <c r="D66" s="64">
        <f t="shared" si="0"/>
        <v>38.024954248129916</v>
      </c>
      <c r="E66" s="222">
        <f t="shared" si="1"/>
        <v>3955135.428868555</v>
      </c>
      <c r="F66" s="247">
        <f t="shared" si="2"/>
        <v>38.024954248129916</v>
      </c>
      <c r="G66" s="220">
        <f t="shared" si="3"/>
        <v>1780640.258345162</v>
      </c>
      <c r="H66" s="27">
        <f t="shared" si="4"/>
        <v>5735775.687213717</v>
      </c>
    </row>
    <row r="67" spans="1:8" x14ac:dyDescent="0.25">
      <c r="A67" s="41" t="s">
        <v>56</v>
      </c>
      <c r="B67" s="219">
        <v>1939.18</v>
      </c>
      <c r="C67" s="39">
        <f>SUM('K '!L67,'1-3 '!J67,'4-6'!J67,'7-8 '!J67,'9-12 '!J67,'Special Ed (Simplified)'!I67,'Special Ed (Goal)'!T68)</f>
        <v>128.21556587159526</v>
      </c>
      <c r="D67" s="64">
        <f t="shared" si="0"/>
        <v>8.5477043914396837</v>
      </c>
      <c r="E67" s="222">
        <f t="shared" si="1"/>
        <v>889082.68642403639</v>
      </c>
      <c r="F67" s="247">
        <f t="shared" si="2"/>
        <v>8.5477043914396837</v>
      </c>
      <c r="G67" s="220">
        <f t="shared" si="3"/>
        <v>400273.63232343085</v>
      </c>
      <c r="H67" s="27">
        <f t="shared" si="4"/>
        <v>1289356.3187474674</v>
      </c>
    </row>
    <row r="68" spans="1:8" x14ac:dyDescent="0.25">
      <c r="A68" s="41" t="s">
        <v>57</v>
      </c>
      <c r="B68" s="219">
        <v>3124.12</v>
      </c>
      <c r="C68" s="39">
        <f>SUM('K '!L68,'1-3 '!J68,'4-6'!J68,'7-8 '!J68,'9-12 '!J68,'Special Ed (Simplified)'!I68,'Special Ed (Goal)'!T69)</f>
        <v>215.03443568754568</v>
      </c>
      <c r="D68" s="64">
        <f t="shared" si="0"/>
        <v>14.335629045836379</v>
      </c>
      <c r="E68" s="222">
        <f t="shared" si="1"/>
        <v>1491109.0744334841</v>
      </c>
      <c r="F68" s="247">
        <f t="shared" si="2"/>
        <v>14.335629045836379</v>
      </c>
      <c r="G68" s="220">
        <f t="shared" si="3"/>
        <v>671311.74021002033</v>
      </c>
      <c r="H68" s="27">
        <f t="shared" si="4"/>
        <v>2162420.8146435046</v>
      </c>
    </row>
    <row r="69" spans="1:8" x14ac:dyDescent="0.25">
      <c r="A69" s="41" t="s">
        <v>58</v>
      </c>
      <c r="B69" s="219">
        <v>16899.259999999998</v>
      </c>
      <c r="C69" s="39">
        <f>SUM('K '!L69,'1-3 '!J69,'4-6'!J69,'7-8 '!J69,'9-12 '!J69,'Special Ed (Simplified)'!I69,'Special Ed (Goal)'!T70)</f>
        <v>1010.6782579771391</v>
      </c>
      <c r="D69" s="64">
        <f t="shared" si="0"/>
        <v>67.378550531809267</v>
      </c>
      <c r="E69" s="222">
        <f t="shared" si="1"/>
        <v>7008326.4430824453</v>
      </c>
      <c r="F69" s="247">
        <f t="shared" si="2"/>
        <v>67.378550531809267</v>
      </c>
      <c r="G69" s="220">
        <f t="shared" si="3"/>
        <v>3155216.4098076178</v>
      </c>
      <c r="H69" s="27">
        <f t="shared" si="4"/>
        <v>10163542.852890063</v>
      </c>
    </row>
    <row r="70" spans="1:8" x14ac:dyDescent="0.25">
      <c r="A70" s="41" t="s">
        <v>59</v>
      </c>
      <c r="B70" s="219">
        <v>4230.8599999999997</v>
      </c>
      <c r="C70" s="39">
        <f>SUM('K '!L70,'1-3 '!J70,'4-6'!J70,'7-8 '!J70,'9-12 '!J70,'Special Ed (Simplified)'!I70,'Special Ed (Goal)'!T71)</f>
        <v>292.70210883095376</v>
      </c>
      <c r="D70" s="64">
        <f t="shared" si="0"/>
        <v>19.513473922063586</v>
      </c>
      <c r="E70" s="222">
        <f t="shared" si="1"/>
        <v>2029678.4986467666</v>
      </c>
      <c r="F70" s="247">
        <f t="shared" si="2"/>
        <v>19.513473922063586</v>
      </c>
      <c r="G70" s="220">
        <f t="shared" si="3"/>
        <v>913780.90869113232</v>
      </c>
      <c r="H70" s="27">
        <f t="shared" si="4"/>
        <v>2943459.4073378989</v>
      </c>
    </row>
    <row r="71" spans="1:8" x14ac:dyDescent="0.25">
      <c r="A71" s="41" t="s">
        <v>60</v>
      </c>
      <c r="B71" s="219">
        <v>3684.37</v>
      </c>
      <c r="C71" s="39">
        <f>SUM('K '!L71,'1-3 '!J71,'4-6'!J71,'7-8 '!J71,'9-12 '!J71,'Special Ed (Simplified)'!I71,'Special Ed (Goal)'!T72)</f>
        <v>246.95559172690275</v>
      </c>
      <c r="D71" s="64">
        <f t="shared" si="0"/>
        <v>16.46370611512685</v>
      </c>
      <c r="E71" s="222">
        <f t="shared" si="1"/>
        <v>1712459.3213579087</v>
      </c>
      <c r="F71" s="247">
        <f t="shared" si="2"/>
        <v>16.46370611512685</v>
      </c>
      <c r="G71" s="220">
        <f t="shared" si="3"/>
        <v>770965.76418892259</v>
      </c>
      <c r="H71" s="27">
        <f t="shared" si="4"/>
        <v>2483425.0855468311</v>
      </c>
    </row>
    <row r="72" spans="1:8" x14ac:dyDescent="0.25">
      <c r="A72" s="41" t="s">
        <v>61</v>
      </c>
      <c r="B72" s="219">
        <v>665.85</v>
      </c>
      <c r="C72" s="39">
        <f>SUM('K '!L72,'1-3 '!J72,'4-6'!J72,'7-8 '!J72,'9-12 '!J72,'Special Ed (Simplified)'!I72,'Special Ed (Goal)'!T73)</f>
        <v>45.454563868071524</v>
      </c>
      <c r="D72" s="64">
        <f t="shared" si="0"/>
        <v>3.030304257871435</v>
      </c>
      <c r="E72" s="222">
        <f t="shared" si="1"/>
        <v>315194.69168455305</v>
      </c>
      <c r="F72" s="247">
        <f t="shared" si="2"/>
        <v>3.030304257871435</v>
      </c>
      <c r="G72" s="220">
        <f t="shared" si="3"/>
        <v>141903.70148482185</v>
      </c>
      <c r="H72" s="27">
        <f t="shared" si="4"/>
        <v>457098.3931693749</v>
      </c>
    </row>
    <row r="73" spans="1:8" x14ac:dyDescent="0.25">
      <c r="A73" s="41" t="s">
        <v>62</v>
      </c>
      <c r="B73" s="219">
        <v>5751.42</v>
      </c>
      <c r="C73" s="39">
        <f>SUM('K '!L73,'1-3 '!J73,'4-6'!J73,'7-8 '!J73,'9-12 '!J73,'Special Ed (Simplified)'!I73,'Special Ed (Goal)'!T74)</f>
        <v>371.56790667683276</v>
      </c>
      <c r="D73" s="64">
        <f t="shared" si="0"/>
        <v>24.771193778455519</v>
      </c>
      <c r="E73" s="222">
        <f t="shared" si="1"/>
        <v>2576556.0555107342</v>
      </c>
      <c r="F73" s="247">
        <f t="shared" si="2"/>
        <v>24.771193778455519</v>
      </c>
      <c r="G73" s="220">
        <f t="shared" si="3"/>
        <v>1159990.4789196791</v>
      </c>
      <c r="H73" s="27">
        <f t="shared" si="4"/>
        <v>3736546.5344304135</v>
      </c>
    </row>
    <row r="74" spans="1:8" x14ac:dyDescent="0.25">
      <c r="A74" s="41" t="s">
        <v>63</v>
      </c>
      <c r="B74" s="219">
        <v>10099.5</v>
      </c>
      <c r="C74" s="39">
        <f>SUM('K '!L74,'1-3 '!J74,'4-6'!J74,'7-8 '!J74,'9-12 '!J74,'Special Ed (Simplified)'!I74,'Special Ed (Goal)'!T75)</f>
        <v>666.69856126491572</v>
      </c>
      <c r="D74" s="64">
        <f t="shared" si="0"/>
        <v>44.446570750994383</v>
      </c>
      <c r="E74" s="222">
        <f t="shared" si="1"/>
        <v>4623074.7714210926</v>
      </c>
      <c r="F74" s="247">
        <f t="shared" si="2"/>
        <v>44.446570750994383</v>
      </c>
      <c r="G74" s="220">
        <f t="shared" si="3"/>
        <v>2081353.0164470733</v>
      </c>
      <c r="H74" s="27">
        <f t="shared" si="4"/>
        <v>6704427.7878681663</v>
      </c>
    </row>
    <row r="75" spans="1:8" x14ac:dyDescent="0.25">
      <c r="A75" s="41" t="s">
        <v>64</v>
      </c>
      <c r="B75" s="219">
        <v>2483.25</v>
      </c>
      <c r="C75" s="39">
        <f>SUM('K '!L75,'1-3 '!J75,'4-6'!J75,'7-8 '!J75,'9-12 '!J75,'Special Ed (Simplified)'!I75,'Special Ed (Goal)'!T76)</f>
        <v>168.11975422391333</v>
      </c>
      <c r="D75" s="64">
        <f t="shared" si="0"/>
        <v>11.207983614927555</v>
      </c>
      <c r="E75" s="222">
        <f t="shared" si="1"/>
        <v>1165789.5179126575</v>
      </c>
      <c r="F75" s="247">
        <f t="shared" si="2"/>
        <v>11.207983614927555</v>
      </c>
      <c r="G75" s="220">
        <f t="shared" si="3"/>
        <v>524849.72656066925</v>
      </c>
      <c r="H75" s="27">
        <f t="shared" si="4"/>
        <v>1690639.2444733267</v>
      </c>
    </row>
    <row r="76" spans="1:8" x14ac:dyDescent="0.25">
      <c r="A76" s="41" t="s">
        <v>65</v>
      </c>
      <c r="B76" s="219">
        <v>3390.2</v>
      </c>
      <c r="C76" s="39">
        <f>SUM('K '!L76,'1-3 '!J76,'4-6'!J76,'7-8 '!J76,'9-12 '!J76,'Special Ed (Simplified)'!I76,'Special Ed (Goal)'!T77)</f>
        <v>219.65471620092956</v>
      </c>
      <c r="D76" s="64">
        <f t="shared" si="0"/>
        <v>14.643647746728638</v>
      </c>
      <c r="E76" s="222">
        <f t="shared" si="1"/>
        <v>1523147.3950769061</v>
      </c>
      <c r="F76" s="247">
        <f t="shared" si="2"/>
        <v>14.643647746728638</v>
      </c>
      <c r="G76" s="220">
        <f t="shared" si="3"/>
        <v>685735.7023153503</v>
      </c>
      <c r="H76" s="27">
        <f t="shared" si="4"/>
        <v>2208883.0973922564</v>
      </c>
    </row>
    <row r="77" spans="1:8" x14ac:dyDescent="0.25">
      <c r="A77" s="41" t="s">
        <v>66</v>
      </c>
      <c r="B77" s="219">
        <v>6118.74</v>
      </c>
      <c r="C77" s="39">
        <f>SUM('K '!L77,'1-3 '!J77,'4-6'!J77,'7-8 '!J77,'9-12 '!J77,'Special Ed (Simplified)'!I77,'Special Ed (Goal)'!T78)</f>
        <v>404.11948882581197</v>
      </c>
      <c r="D77" s="64">
        <f t="shared" si="0"/>
        <v>26.94129925505413</v>
      </c>
      <c r="E77" s="222">
        <f t="shared" si="1"/>
        <v>2802277.8538558027</v>
      </c>
      <c r="F77" s="247">
        <f t="shared" si="2"/>
        <v>26.94129925505413</v>
      </c>
      <c r="G77" s="220">
        <f t="shared" si="3"/>
        <v>1261612.6176675998</v>
      </c>
      <c r="H77" s="27">
        <f t="shared" si="4"/>
        <v>4063890.4715234023</v>
      </c>
    </row>
    <row r="78" spans="1:8" x14ac:dyDescent="0.25">
      <c r="A78" s="41" t="s">
        <v>67</v>
      </c>
      <c r="B78" s="219">
        <v>15618.17</v>
      </c>
      <c r="C78" s="39">
        <f>SUM('K '!L78,'1-3 '!J78,'4-6'!J78,'7-8 '!J78,'9-12 '!J78,'Special Ed (Simplified)'!I78,'Special Ed (Goal)'!T79)</f>
        <v>970.12943224888613</v>
      </c>
      <c r="D78" s="64">
        <f t="shared" si="0"/>
        <v>64.675295483259077</v>
      </c>
      <c r="E78" s="222">
        <f t="shared" si="1"/>
        <v>6727149.5152676152</v>
      </c>
      <c r="F78" s="247">
        <f t="shared" si="2"/>
        <v>64.675295483259077</v>
      </c>
      <c r="G78" s="220">
        <f t="shared" si="3"/>
        <v>3028627.8349308972</v>
      </c>
      <c r="H78" s="27">
        <f t="shared" si="4"/>
        <v>9755777.3501985129</v>
      </c>
    </row>
    <row r="79" spans="1:8" x14ac:dyDescent="0.25">
      <c r="A79" s="41" t="s">
        <v>68</v>
      </c>
      <c r="B79" s="219">
        <v>22502.1</v>
      </c>
      <c r="C79" s="39">
        <f>SUM('K '!L79,'1-3 '!J79,'4-6'!J79,'7-8 '!J79,'9-12 '!J79,'Special Ed (Simplified)'!I79,'Special Ed (Goal)'!T80)</f>
        <v>1468.2483080488514</v>
      </c>
      <c r="D79" s="64">
        <f t="shared" si="0"/>
        <v>97.883220536590088</v>
      </c>
      <c r="E79" s="222">
        <f t="shared" si="1"/>
        <v>10181245.476582298</v>
      </c>
      <c r="F79" s="247">
        <f t="shared" si="2"/>
        <v>97.883220536590088</v>
      </c>
      <c r="G79" s="220">
        <f t="shared" si="3"/>
        <v>4583695.2745972639</v>
      </c>
      <c r="H79" s="27">
        <f t="shared" si="4"/>
        <v>14764940.751179561</v>
      </c>
    </row>
    <row r="80" spans="1:8" x14ac:dyDescent="0.25">
      <c r="A80" s="41" t="s">
        <v>69</v>
      </c>
      <c r="B80" s="219">
        <v>27586.57</v>
      </c>
      <c r="C80" s="39">
        <f>SUM('K '!L80,'1-3 '!J80,'4-6'!J80,'7-8 '!J80,'9-12 '!J80,'Special Ed (Simplified)'!I80,'Special Ed (Goal)'!T81)</f>
        <v>1690.2759820787135</v>
      </c>
      <c r="D80" s="64">
        <f t="shared" ref="D80:D95" si="5">$B$8*(C80/$B$9)</f>
        <v>112.68506547191423</v>
      </c>
      <c r="E80" s="222">
        <f t="shared" ref="E80:E95" si="6">($B$4+$B$5+$B$6)*D80</f>
        <v>11720847.626641382</v>
      </c>
      <c r="F80" s="247">
        <f t="shared" ref="F80:F95" si="7">$D$8*(C80/$D$9)</f>
        <v>112.68506547191423</v>
      </c>
      <c r="G80" s="220">
        <f t="shared" ref="G80:G95" si="8">($D$4+$D$5+$D$6)*F80</f>
        <v>5276839.0668982584</v>
      </c>
      <c r="H80" s="27">
        <f t="shared" ref="H80:H95" si="9">SUM(E80,G80)</f>
        <v>16997686.693539642</v>
      </c>
    </row>
    <row r="81" spans="1:8" x14ac:dyDescent="0.25">
      <c r="A81" s="41" t="s">
        <v>70</v>
      </c>
      <c r="B81" s="219">
        <v>2197.3200000000002</v>
      </c>
      <c r="C81" s="39">
        <f>SUM('K '!L81,'1-3 '!J81,'4-6'!J81,'7-8 '!J81,'9-12 '!J81,'Special Ed (Simplified)'!I81,'Special Ed (Goal)'!T82)</f>
        <v>147.76238181088081</v>
      </c>
      <c r="D81" s="64">
        <f t="shared" si="5"/>
        <v>9.8508254540587199</v>
      </c>
      <c r="E81" s="222">
        <f t="shared" si="6"/>
        <v>1024625.7892306063</v>
      </c>
      <c r="F81" s="247">
        <f t="shared" si="7"/>
        <v>9.8508254540587199</v>
      </c>
      <c r="G81" s="220">
        <f t="shared" si="8"/>
        <v>461296.44935183268</v>
      </c>
      <c r="H81" s="27">
        <f t="shared" si="9"/>
        <v>1485922.238582439</v>
      </c>
    </row>
    <row r="82" spans="1:8" x14ac:dyDescent="0.25">
      <c r="A82" s="41" t="s">
        <v>71</v>
      </c>
      <c r="B82" s="219">
        <v>4904.8</v>
      </c>
      <c r="C82" s="39">
        <f>SUM('K '!L82,'1-3 '!J82,'4-6'!J82,'7-8 '!J82,'9-12 '!J82,'Special Ed (Simplified)'!I82,'Special Ed (Goal)'!T83)</f>
        <v>298.52448393824329</v>
      </c>
      <c r="D82" s="64">
        <f t="shared" si="5"/>
        <v>19.901632262549551</v>
      </c>
      <c r="E82" s="222">
        <f t="shared" si="6"/>
        <v>2070052.480281271</v>
      </c>
      <c r="F82" s="247">
        <f t="shared" si="7"/>
        <v>19.901632262549551</v>
      </c>
      <c r="G82" s="220">
        <f t="shared" si="8"/>
        <v>931957.66606923612</v>
      </c>
      <c r="H82" s="27">
        <f t="shared" si="9"/>
        <v>3002010.1463505072</v>
      </c>
    </row>
    <row r="83" spans="1:8" x14ac:dyDescent="0.25">
      <c r="A83" s="41" t="s">
        <v>72</v>
      </c>
      <c r="B83" s="219">
        <v>9921.15</v>
      </c>
      <c r="C83" s="39">
        <f>SUM('K '!L83,'1-3 '!J83,'4-6'!J83,'7-8 '!J83,'9-12 '!J83,'Special Ed (Simplified)'!I83,'Special Ed (Goal)'!T84)</f>
        <v>615.12827283211686</v>
      </c>
      <c r="D83" s="64">
        <f t="shared" si="5"/>
        <v>41.008551522141126</v>
      </c>
      <c r="E83" s="222">
        <f t="shared" si="6"/>
        <v>4265471.9307066267</v>
      </c>
      <c r="F83" s="247">
        <f t="shared" si="7"/>
        <v>41.008551522141126</v>
      </c>
      <c r="G83" s="220">
        <f t="shared" si="8"/>
        <v>1920356.7557306788</v>
      </c>
      <c r="H83" s="27">
        <f t="shared" si="9"/>
        <v>6185828.6864373051</v>
      </c>
    </row>
    <row r="84" spans="1:8" x14ac:dyDescent="0.25">
      <c r="A84" s="41" t="s">
        <v>73</v>
      </c>
      <c r="B84" s="219">
        <v>2737.16</v>
      </c>
      <c r="C84" s="39">
        <f>SUM('K '!L84,'1-3 '!J84,'4-6'!J84,'7-8 '!J84,'9-12 '!J84,'Special Ed (Simplified)'!I84,'Special Ed (Goal)'!T85)</f>
        <v>179.42411972114556</v>
      </c>
      <c r="D84" s="64">
        <f t="shared" si="5"/>
        <v>11.961607981409704</v>
      </c>
      <c r="E84" s="222">
        <f t="shared" si="6"/>
        <v>1244177.1581049862</v>
      </c>
      <c r="F84" s="247">
        <f t="shared" si="7"/>
        <v>11.961607981409704</v>
      </c>
      <c r="G84" s="220">
        <f t="shared" si="8"/>
        <v>560140.60101830203</v>
      </c>
      <c r="H84" s="27">
        <f t="shared" si="9"/>
        <v>1804317.7591232881</v>
      </c>
    </row>
    <row r="85" spans="1:8" x14ac:dyDescent="0.25">
      <c r="A85" s="41" t="s">
        <v>74</v>
      </c>
      <c r="B85" s="219">
        <v>2669.43</v>
      </c>
      <c r="C85" s="39">
        <f>SUM('K '!L85,'1-3 '!J85,'4-6'!J85,'7-8 '!J85,'9-12 '!J85,'Special Ed (Simplified)'!I85,'Special Ed (Goal)'!T86)</f>
        <v>171.80108821600123</v>
      </c>
      <c r="D85" s="64">
        <f t="shared" si="5"/>
        <v>11.453405881066749</v>
      </c>
      <c r="E85" s="222">
        <f t="shared" si="6"/>
        <v>1191316.920089297</v>
      </c>
      <c r="F85" s="247">
        <f t="shared" si="7"/>
        <v>11.453405881066749</v>
      </c>
      <c r="G85" s="220">
        <f t="shared" si="8"/>
        <v>536342.41014235269</v>
      </c>
      <c r="H85" s="27">
        <f t="shared" si="9"/>
        <v>1727659.3302316498</v>
      </c>
    </row>
    <row r="86" spans="1:8" x14ac:dyDescent="0.25">
      <c r="A86" s="41" t="s">
        <v>75</v>
      </c>
      <c r="B86" s="219">
        <v>8533.4500000000007</v>
      </c>
      <c r="C86" s="39">
        <f>SUM('K '!L86,'1-3 '!J86,'4-6'!J86,'7-8 '!J86,'9-12 '!J86,'Special Ed (Simplified)'!I86,'Special Ed (Goal)'!T87)</f>
        <v>527.91610415828268</v>
      </c>
      <c r="D86" s="64">
        <f t="shared" si="5"/>
        <v>35.194406943885511</v>
      </c>
      <c r="E86" s="222">
        <f t="shared" si="6"/>
        <v>3660718.2981324671</v>
      </c>
      <c r="F86" s="247">
        <f t="shared" si="7"/>
        <v>35.194406943885511</v>
      </c>
      <c r="G86" s="220">
        <f t="shared" si="8"/>
        <v>1648090.815939565</v>
      </c>
      <c r="H86" s="27">
        <f t="shared" si="9"/>
        <v>5308809.1140720323</v>
      </c>
    </row>
    <row r="87" spans="1:8" x14ac:dyDescent="0.25">
      <c r="A87" s="41" t="s">
        <v>76</v>
      </c>
      <c r="B87" s="219">
        <v>10966.62</v>
      </c>
      <c r="C87" s="39">
        <f>SUM('K '!L87,'1-3 '!J87,'4-6'!J87,'7-8 '!J87,'9-12 '!J87,'Special Ed (Simplified)'!I87,'Special Ed (Goal)'!T88)</f>
        <v>705.36064812289908</v>
      </c>
      <c r="D87" s="64">
        <f t="shared" si="5"/>
        <v>47.02404320819327</v>
      </c>
      <c r="E87" s="222">
        <f t="shared" si="6"/>
        <v>4891168.5228528008</v>
      </c>
      <c r="F87" s="247">
        <f t="shared" si="7"/>
        <v>47.02404320819327</v>
      </c>
      <c r="G87" s="220">
        <f t="shared" si="8"/>
        <v>2202051.4186625048</v>
      </c>
      <c r="H87" s="27">
        <f t="shared" si="9"/>
        <v>7093219.941515306</v>
      </c>
    </row>
    <row r="88" spans="1:8" x14ac:dyDescent="0.25">
      <c r="A88" s="41" t="s">
        <v>77</v>
      </c>
      <c r="B88" s="219">
        <v>7107.44</v>
      </c>
      <c r="C88" s="39">
        <f>SUM('K '!L88,'1-3 '!J88,'4-6'!J88,'7-8 '!J88,'9-12 '!J88,'Special Ed (Simplified)'!I88,'Special Ed (Goal)'!T89)</f>
        <v>450.67485560559646</v>
      </c>
      <c r="D88" s="64">
        <f t="shared" si="5"/>
        <v>30.04499037370643</v>
      </c>
      <c r="E88" s="222">
        <f t="shared" si="6"/>
        <v>3125105.8216041164</v>
      </c>
      <c r="F88" s="247">
        <f t="shared" si="7"/>
        <v>30.04499037370643</v>
      </c>
      <c r="G88" s="220">
        <f t="shared" si="8"/>
        <v>1406952.8939313751</v>
      </c>
      <c r="H88" s="27">
        <f t="shared" si="9"/>
        <v>4532058.7155354917</v>
      </c>
    </row>
    <row r="89" spans="1:8" x14ac:dyDescent="0.25">
      <c r="A89" s="41" t="s">
        <v>78</v>
      </c>
      <c r="B89" s="219">
        <v>15888.61</v>
      </c>
      <c r="C89" s="39">
        <f>SUM('K '!L89,'1-3 '!J89,'4-6'!J89,'7-8 '!J89,'9-12 '!J89,'Special Ed (Simplified)'!I89,'Special Ed (Goal)'!T90)</f>
        <v>1040.2071470481424</v>
      </c>
      <c r="D89" s="64">
        <f t="shared" si="5"/>
        <v>69.347143136542826</v>
      </c>
      <c r="E89" s="222">
        <f t="shared" si="6"/>
        <v>7213088.0400375091</v>
      </c>
      <c r="F89" s="247">
        <f t="shared" si="7"/>
        <v>69.347143136542826</v>
      </c>
      <c r="G89" s="220">
        <f t="shared" si="8"/>
        <v>3247402.0629814556</v>
      </c>
      <c r="H89" s="27">
        <f t="shared" si="9"/>
        <v>10460490.103018966</v>
      </c>
    </row>
    <row r="90" spans="1:8" x14ac:dyDescent="0.25">
      <c r="A90" s="41" t="s">
        <v>79</v>
      </c>
      <c r="B90" s="219">
        <v>3787.02</v>
      </c>
      <c r="C90" s="39">
        <f>SUM('K '!L90,'1-3 '!J90,'4-6'!J90,'7-8 '!J90,'9-12 '!J90,'Special Ed (Simplified)'!I90,'Special Ed (Goal)'!T91)</f>
        <v>250.70103599683736</v>
      </c>
      <c r="D90" s="64">
        <f t="shared" si="5"/>
        <v>16.713402399789157</v>
      </c>
      <c r="E90" s="222">
        <f t="shared" si="6"/>
        <v>1738431.2821781721</v>
      </c>
      <c r="F90" s="247">
        <f t="shared" si="7"/>
        <v>16.713402399789157</v>
      </c>
      <c r="G90" s="220">
        <f t="shared" si="8"/>
        <v>782658.59237558057</v>
      </c>
      <c r="H90" s="27">
        <f t="shared" si="9"/>
        <v>2521089.8745537526</v>
      </c>
    </row>
    <row r="91" spans="1:8" x14ac:dyDescent="0.25">
      <c r="A91" s="41" t="s">
        <v>80</v>
      </c>
      <c r="B91" s="219">
        <v>3426.1</v>
      </c>
      <c r="C91" s="39">
        <f>SUM('K '!L91,'1-3 '!J91,'4-6'!J91,'7-8 '!J91,'9-12 '!J91,'Special Ed (Simplified)'!I91,'Special Ed (Goal)'!T92)</f>
        <v>237.62264433700483</v>
      </c>
      <c r="D91" s="64">
        <f t="shared" si="5"/>
        <v>15.841509622466988</v>
      </c>
      <c r="E91" s="222">
        <f t="shared" si="6"/>
        <v>1647742.0471232447</v>
      </c>
      <c r="F91" s="247">
        <f t="shared" si="7"/>
        <v>15.841509622466988</v>
      </c>
      <c r="G91" s="220">
        <f t="shared" si="8"/>
        <v>741829.42082341283</v>
      </c>
      <c r="H91" s="27">
        <f t="shared" si="9"/>
        <v>2389571.4679466574</v>
      </c>
    </row>
    <row r="92" spans="1:8" x14ac:dyDescent="0.25">
      <c r="A92" s="41" t="s">
        <v>81</v>
      </c>
      <c r="B92" s="219">
        <v>4956.4399999999996</v>
      </c>
      <c r="C92" s="39">
        <f>SUM('K '!L92,'1-3 '!J92,'4-6'!J92,'7-8 '!J92,'9-12 '!J92,'Special Ed (Simplified)'!I92,'Special Ed (Goal)'!T93)</f>
        <v>327.56641375436897</v>
      </c>
      <c r="D92" s="64">
        <f t="shared" si="5"/>
        <v>21.837760916957929</v>
      </c>
      <c r="E92" s="222">
        <f t="shared" si="6"/>
        <v>2271437.3652157425</v>
      </c>
      <c r="F92" s="247">
        <f t="shared" si="7"/>
        <v>21.837760916957929</v>
      </c>
      <c r="G92" s="220">
        <f t="shared" si="8"/>
        <v>1022623.0908026468</v>
      </c>
      <c r="H92" s="27">
        <f t="shared" si="9"/>
        <v>3294060.4560183892</v>
      </c>
    </row>
    <row r="93" spans="1:8" x14ac:dyDescent="0.25">
      <c r="A93" s="41" t="s">
        <v>82</v>
      </c>
      <c r="B93" s="219">
        <v>7694.47</v>
      </c>
      <c r="C93" s="39">
        <f>SUM('K '!L93,'1-3 '!J93,'4-6'!J93,'7-8 '!J93,'9-12 '!J93,'Special Ed (Simplified)'!I93,'Special Ed (Goal)'!T94)</f>
        <v>435.58791545790911</v>
      </c>
      <c r="D93" s="64">
        <f t="shared" si="5"/>
        <v>29.039194363860606</v>
      </c>
      <c r="E93" s="222">
        <f t="shared" si="6"/>
        <v>3020488.7481213394</v>
      </c>
      <c r="F93" s="247">
        <f t="shared" si="7"/>
        <v>29.039194363860606</v>
      </c>
      <c r="G93" s="220">
        <f t="shared" si="8"/>
        <v>1359853.274688507</v>
      </c>
      <c r="H93" s="27">
        <f t="shared" si="9"/>
        <v>4380342.0228098463</v>
      </c>
    </row>
    <row r="94" spans="1:8" x14ac:dyDescent="0.25">
      <c r="A94" s="41" t="s">
        <v>83</v>
      </c>
      <c r="B94" s="219">
        <v>17132.009999999998</v>
      </c>
      <c r="C94" s="39">
        <f>SUM('K '!L94,'1-3 '!J94,'4-6'!J94,'7-8 '!J94,'9-12 '!J94,'Special Ed (Simplified)'!I94,'Special Ed (Goal)'!T95)</f>
        <v>1083.5972663776447</v>
      </c>
      <c r="D94" s="64">
        <f t="shared" si="5"/>
        <v>72.239817758509645</v>
      </c>
      <c r="E94" s="222">
        <f t="shared" si="6"/>
        <v>7513967.2944048587</v>
      </c>
      <c r="F94" s="247">
        <f t="shared" si="7"/>
        <v>72.239817758509645</v>
      </c>
      <c r="G94" s="220">
        <f t="shared" si="8"/>
        <v>3382860.8160033822</v>
      </c>
      <c r="H94" s="27">
        <f t="shared" si="9"/>
        <v>10896828.110408241</v>
      </c>
    </row>
    <row r="95" spans="1:8" x14ac:dyDescent="0.25">
      <c r="A95" s="41" t="s">
        <v>84</v>
      </c>
      <c r="B95" s="219">
        <v>15937.31</v>
      </c>
      <c r="C95" s="39">
        <f>SUM('K '!L95,'1-3 '!J95,'4-6'!J95,'7-8 '!J95,'9-12 '!J95,'Special Ed (Simplified)'!I95,'Special Ed (Goal)'!T96)</f>
        <v>866.56061645246393</v>
      </c>
      <c r="D95" s="64">
        <f t="shared" si="5"/>
        <v>57.770707763497597</v>
      </c>
      <c r="E95" s="222">
        <f t="shared" si="6"/>
        <v>6008974.3050107239</v>
      </c>
      <c r="F95" s="247">
        <f t="shared" si="7"/>
        <v>57.770707763497597</v>
      </c>
      <c r="G95" s="220">
        <f t="shared" si="8"/>
        <v>2705298.4028728018</v>
      </c>
      <c r="H95" s="27">
        <f t="shared" si="9"/>
        <v>8714272.7078835256</v>
      </c>
    </row>
    <row r="96" spans="1:8" ht="15.75" thickBot="1" x14ac:dyDescent="0.3">
      <c r="A96" s="15" t="s">
        <v>312</v>
      </c>
      <c r="B96" s="223">
        <v>721122.25</v>
      </c>
      <c r="C96" s="224">
        <f t="shared" ref="C96:H96" si="10">SUM(C15:C95)</f>
        <v>45241.326238311362</v>
      </c>
      <c r="D96" s="225">
        <f t="shared" si="10"/>
        <v>3016.0884158874242</v>
      </c>
      <c r="E96" s="228">
        <f t="shared" si="10"/>
        <v>313716042.16625875</v>
      </c>
      <c r="F96" s="248">
        <f t="shared" si="10"/>
        <v>3016.0884158874242</v>
      </c>
      <c r="G96" s="226">
        <f t="shared" si="10"/>
        <v>141237999.15740222</v>
      </c>
      <c r="H96" s="21">
        <f t="shared" si="10"/>
        <v>454954041.32366103</v>
      </c>
    </row>
  </sheetData>
  <mergeCells count="9">
    <mergeCell ref="D11:H11"/>
    <mergeCell ref="A12:A13"/>
    <mergeCell ref="B12:B13"/>
    <mergeCell ref="E12:E13"/>
    <mergeCell ref="G12:G13"/>
    <mergeCell ref="H12:H13"/>
    <mergeCell ref="C12:C13"/>
    <mergeCell ref="D12:D13"/>
    <mergeCell ref="F12:F13"/>
  </mergeCells>
  <printOptions horizontalCentered="1"/>
  <pageMargins left="0.5" right="0.5" top="0.5" bottom="0.5" header="0.3" footer="0.3"/>
  <pageSetup scale="65" fitToHeight="2" orientation="landscape" r:id="rId1"/>
  <colBreaks count="1" manualBreakCount="1">
    <brk id="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>
    <pageSetUpPr fitToPage="1"/>
  </sheetPr>
  <dimension ref="A1:F94"/>
  <sheetViews>
    <sheetView workbookViewId="0">
      <selection activeCell="D4" sqref="D4"/>
    </sheetView>
  </sheetViews>
  <sheetFormatPr defaultRowHeight="15" x14ac:dyDescent="0.25"/>
  <cols>
    <col min="1" max="1" width="20.85546875" style="1" customWidth="1"/>
    <col min="2" max="2" width="10.28515625" style="1" bestFit="1" customWidth="1"/>
    <col min="3" max="3" width="10.5703125" style="1" bestFit="1" customWidth="1"/>
    <col min="4" max="4" width="21" style="1" customWidth="1"/>
    <col min="5" max="5" width="18.85546875" style="1" customWidth="1"/>
    <col min="6" max="6" width="11.7109375" style="1" bestFit="1" customWidth="1"/>
    <col min="7" max="7" width="14.28515625" style="1" customWidth="1"/>
    <col min="8" max="8" width="15.7109375" style="1" bestFit="1" customWidth="1"/>
    <col min="9" max="9" width="16" style="1" customWidth="1"/>
    <col min="10" max="10" width="11.140625" style="1" bestFit="1" customWidth="1"/>
    <col min="11" max="11" width="3.85546875" style="1" customWidth="1"/>
    <col min="12" max="12" width="15" style="1" customWidth="1"/>
    <col min="13" max="13" width="11.140625" style="1" bestFit="1" customWidth="1"/>
    <col min="14" max="14" width="3.85546875" style="1" customWidth="1"/>
    <col min="15" max="15" width="15.28515625" style="1" customWidth="1"/>
    <col min="16" max="16" width="11.140625" style="1" bestFit="1" customWidth="1"/>
    <col min="17" max="17" width="3.85546875" style="1" customWidth="1"/>
    <col min="18" max="18" width="15.5703125" style="1" customWidth="1"/>
    <col min="19" max="19" width="11.140625" style="1" bestFit="1" customWidth="1"/>
    <col min="20" max="16384" width="9.140625" style="1"/>
  </cols>
  <sheetData>
    <row r="1" spans="1:6" ht="23.25" x14ac:dyDescent="0.35">
      <c r="A1" s="207" t="s">
        <v>674</v>
      </c>
      <c r="B1" s="208"/>
      <c r="C1" s="208"/>
      <c r="D1" s="209"/>
    </row>
    <row r="2" spans="1:6" ht="15.75" thickBot="1" x14ac:dyDescent="0.3"/>
    <row r="3" spans="1:6" s="592" customFormat="1" x14ac:dyDescent="0.25">
      <c r="A3" s="894" t="s">
        <v>637</v>
      </c>
      <c r="B3" s="895"/>
    </row>
    <row r="4" spans="1:6" s="592" customFormat="1" ht="15.75" thickBot="1" x14ac:dyDescent="0.3">
      <c r="A4" s="213" t="s">
        <v>636</v>
      </c>
      <c r="B4" s="591">
        <f>Amounts!C49</f>
        <v>3343.95</v>
      </c>
    </row>
    <row r="5" spans="1:6" s="592" customFormat="1" ht="15.75" thickBot="1" x14ac:dyDescent="0.3"/>
    <row r="6" spans="1:6" s="592" customFormat="1" x14ac:dyDescent="0.25">
      <c r="A6" s="681" t="s">
        <v>190</v>
      </c>
      <c r="B6" s="215">
        <f>Amounts!E49</f>
        <v>1</v>
      </c>
    </row>
    <row r="7" spans="1:6" s="592" customFormat="1" ht="15.75" thickBot="1" x14ac:dyDescent="0.3">
      <c r="A7" s="683" t="s">
        <v>180</v>
      </c>
      <c r="B7" s="216">
        <f>Amounts!G49</f>
        <v>1</v>
      </c>
    </row>
    <row r="8" spans="1:6" ht="15.75" thickBot="1" x14ac:dyDescent="0.3"/>
    <row r="9" spans="1:6" ht="15.75" thickBot="1" x14ac:dyDescent="0.3">
      <c r="D9" s="896" t="s">
        <v>675</v>
      </c>
      <c r="E9" s="897"/>
      <c r="F9" s="244"/>
    </row>
    <row r="10" spans="1:6" x14ac:dyDescent="0.25">
      <c r="A10" s="848" t="s">
        <v>0</v>
      </c>
      <c r="B10" s="831" t="s">
        <v>86</v>
      </c>
      <c r="C10" s="831" t="s">
        <v>184</v>
      </c>
      <c r="D10" s="898" t="s">
        <v>637</v>
      </c>
      <c r="E10" s="898" t="s">
        <v>148</v>
      </c>
    </row>
    <row r="11" spans="1:6" x14ac:dyDescent="0.25">
      <c r="A11" s="849"/>
      <c r="B11" s="832"/>
      <c r="C11" s="832"/>
      <c r="D11" s="899"/>
      <c r="E11" s="899"/>
    </row>
    <row r="12" spans="1:6" x14ac:dyDescent="0.25">
      <c r="A12" s="698" t="s">
        <v>715</v>
      </c>
      <c r="B12" s="693" t="s">
        <v>716</v>
      </c>
      <c r="C12" s="693" t="s">
        <v>717</v>
      </c>
      <c r="D12" s="734" t="s">
        <v>718</v>
      </c>
      <c r="E12" s="734" t="s">
        <v>719</v>
      </c>
    </row>
    <row r="13" spans="1:6" x14ac:dyDescent="0.25">
      <c r="A13" s="41" t="s">
        <v>4</v>
      </c>
      <c r="B13" s="219">
        <v>2915.96</v>
      </c>
      <c r="C13" s="39">
        <f>SUM('K '!L15,'1-3 '!J15,'4-6'!J15,'7-8 '!J15,'9-12 '!J15,'Special Ed (Simplified)'!I15,'Special Ed (Goal)'!T15)</f>
        <v>186.0934763298053</v>
      </c>
      <c r="D13" s="27">
        <f t="shared" ref="D13:D44" si="0">C13*($B$6/$B$7)*$B$4</f>
        <v>622287.28017305245</v>
      </c>
      <c r="E13" s="27">
        <f>SUM(D13:D13)</f>
        <v>622287.28017305245</v>
      </c>
    </row>
    <row r="14" spans="1:6" x14ac:dyDescent="0.25">
      <c r="A14" s="41" t="s">
        <v>5</v>
      </c>
      <c r="B14" s="219">
        <v>23246.81</v>
      </c>
      <c r="C14" s="39">
        <f>SUM('K '!L16,'1-3 '!J16,'4-6'!J16,'7-8 '!J16,'9-12 '!J16,'Special Ed (Simplified)'!I16,'Special Ed (Goal)'!T16)</f>
        <v>1466.4360887812882</v>
      </c>
      <c r="D14" s="27">
        <f t="shared" si="0"/>
        <v>4903688.9590801885</v>
      </c>
      <c r="E14" s="27">
        <f t="shared" ref="E14:E44" si="1">SUM(D14:D14)</f>
        <v>4903688.9590801885</v>
      </c>
    </row>
    <row r="15" spans="1:6" x14ac:dyDescent="0.25">
      <c r="A15" s="41" t="s">
        <v>6</v>
      </c>
      <c r="B15" s="219">
        <v>1028.55</v>
      </c>
      <c r="C15" s="39">
        <f>SUM('K '!L17,'1-3 '!J17,'4-6'!J17,'7-8 '!J17,'9-12 '!J17,'Special Ed (Simplified)'!I17,'Special Ed (Goal)'!T17)</f>
        <v>69.316766251046957</v>
      </c>
      <c r="D15" s="27">
        <f t="shared" si="0"/>
        <v>231791.80050518847</v>
      </c>
      <c r="E15" s="27">
        <f t="shared" si="1"/>
        <v>231791.80050518847</v>
      </c>
    </row>
    <row r="16" spans="1:6" x14ac:dyDescent="0.25">
      <c r="A16" s="41" t="s">
        <v>7</v>
      </c>
      <c r="B16" s="219">
        <v>9875.19</v>
      </c>
      <c r="C16" s="39">
        <f>SUM('K '!L18,'1-3 '!J18,'4-6'!J18,'7-8 '!J18,'9-12 '!J18,'Special Ed (Simplified)'!I18,'Special Ed (Goal)'!T18)</f>
        <v>601.41425616563811</v>
      </c>
      <c r="D16" s="27">
        <f t="shared" si="0"/>
        <v>2011099.2019050855</v>
      </c>
      <c r="E16" s="27">
        <f t="shared" si="1"/>
        <v>2011099.2019050855</v>
      </c>
    </row>
    <row r="17" spans="1:5" x14ac:dyDescent="0.25">
      <c r="A17" s="41" t="s">
        <v>8</v>
      </c>
      <c r="B17" s="219">
        <v>3618.89</v>
      </c>
      <c r="C17" s="39">
        <f>SUM('K '!L19,'1-3 '!J19,'4-6'!J19,'7-8 '!J19,'9-12 '!J19,'Special Ed (Simplified)'!I19,'Special Ed (Goal)'!T19)</f>
        <v>232.05412247449564</v>
      </c>
      <c r="D17" s="27">
        <f t="shared" si="0"/>
        <v>775977.38284858968</v>
      </c>
      <c r="E17" s="27">
        <f t="shared" si="1"/>
        <v>775977.38284858968</v>
      </c>
    </row>
    <row r="18" spans="1:5" x14ac:dyDescent="0.25">
      <c r="A18" s="41" t="s">
        <v>9</v>
      </c>
      <c r="B18" s="219">
        <v>2479.0500000000002</v>
      </c>
      <c r="C18" s="39">
        <f>SUM('K '!L20,'1-3 '!J20,'4-6'!J20,'7-8 '!J20,'9-12 '!J20,'Special Ed (Simplified)'!I20,'Special Ed (Goal)'!T20)</f>
        <v>161.82754788098188</v>
      </c>
      <c r="D18" s="27">
        <f t="shared" si="0"/>
        <v>541143.22873660934</v>
      </c>
      <c r="E18" s="27">
        <f t="shared" si="1"/>
        <v>541143.22873660934</v>
      </c>
    </row>
    <row r="19" spans="1:5" x14ac:dyDescent="0.25">
      <c r="A19" s="41" t="s">
        <v>10</v>
      </c>
      <c r="B19" s="219">
        <v>2744.29</v>
      </c>
      <c r="C19" s="39">
        <f>SUM('K '!L21,'1-3 '!J21,'4-6'!J21,'7-8 '!J21,'9-12 '!J21,'Special Ed (Simplified)'!I21,'Special Ed (Goal)'!T21)</f>
        <v>174.96329925459273</v>
      </c>
      <c r="D19" s="27">
        <f t="shared" si="0"/>
        <v>585068.52454239526</v>
      </c>
      <c r="E19" s="27">
        <f t="shared" si="1"/>
        <v>585068.52454239526</v>
      </c>
    </row>
    <row r="20" spans="1:5" x14ac:dyDescent="0.25">
      <c r="A20" s="41" t="s">
        <v>11</v>
      </c>
      <c r="B20" s="219">
        <v>12671.61</v>
      </c>
      <c r="C20" s="39">
        <f>SUM('K '!L22,'1-3 '!J22,'4-6'!J22,'7-8 '!J22,'9-12 '!J22,'Special Ed (Simplified)'!I22,'Special Ed (Goal)'!T23)</f>
        <v>801.04198960022097</v>
      </c>
      <c r="D20" s="27">
        <f t="shared" si="0"/>
        <v>2678644.3611236587</v>
      </c>
      <c r="E20" s="27">
        <f t="shared" si="1"/>
        <v>2678644.3611236587</v>
      </c>
    </row>
    <row r="21" spans="1:5" x14ac:dyDescent="0.25">
      <c r="A21" s="41" t="s">
        <v>12</v>
      </c>
      <c r="B21" s="219">
        <v>1256.76</v>
      </c>
      <c r="C21" s="39">
        <f>SUM('K '!L23,'1-3 '!J23,'4-6'!J23,'7-8 '!J23,'9-12 '!J23,'Special Ed (Simplified)'!I23,'Special Ed (Goal)'!T24)</f>
        <v>82.03054419581116</v>
      </c>
      <c r="D21" s="27">
        <f t="shared" si="0"/>
        <v>274306.03826358274</v>
      </c>
      <c r="E21" s="27">
        <f t="shared" si="1"/>
        <v>274306.03826358274</v>
      </c>
    </row>
    <row r="22" spans="1:5" x14ac:dyDescent="0.25">
      <c r="A22" s="41" t="s">
        <v>13</v>
      </c>
      <c r="B22" s="219">
        <v>638.25</v>
      </c>
      <c r="C22" s="39">
        <f>SUM('K '!L24,'1-3 '!J24,'4-6'!J24,'7-8 '!J24,'9-12 '!J24,'Special Ed (Simplified)'!I24,'Special Ed (Goal)'!T25)</f>
        <v>45.809135494692619</v>
      </c>
      <c r="D22" s="27">
        <f t="shared" si="0"/>
        <v>153183.45863747736</v>
      </c>
      <c r="E22" s="27">
        <f t="shared" si="1"/>
        <v>153183.45863747736</v>
      </c>
    </row>
    <row r="23" spans="1:5" x14ac:dyDescent="0.25">
      <c r="A23" s="41" t="s">
        <v>14</v>
      </c>
      <c r="B23" s="219">
        <v>587.14</v>
      </c>
      <c r="C23" s="39">
        <f>SUM('K '!L25,'1-3 '!J25,'4-6'!J25,'7-8 '!J25,'9-12 '!J25,'Special Ed (Simplified)'!I25,'Special Ed (Goal)'!T26)</f>
        <v>40.998846091204371</v>
      </c>
      <c r="D23" s="27">
        <f t="shared" si="0"/>
        <v>137098.09138668285</v>
      </c>
      <c r="E23" s="27">
        <f t="shared" si="1"/>
        <v>137098.09138668285</v>
      </c>
    </row>
    <row r="24" spans="1:5" x14ac:dyDescent="0.25">
      <c r="A24" s="41" t="s">
        <v>15</v>
      </c>
      <c r="B24" s="219">
        <v>822.79</v>
      </c>
      <c r="C24" s="39">
        <f>SUM('K '!L26,'1-3 '!J26,'4-6'!J26,'7-8 '!J26,'9-12 '!J26,'Special Ed (Simplified)'!I26,'Special Ed (Goal)'!T27)</f>
        <v>54.369716113994578</v>
      </c>
      <c r="D24" s="27">
        <f t="shared" si="0"/>
        <v>181809.61219939217</v>
      </c>
      <c r="E24" s="27">
        <f t="shared" si="1"/>
        <v>181809.61219939217</v>
      </c>
    </row>
    <row r="25" spans="1:5" x14ac:dyDescent="0.25">
      <c r="A25" s="41" t="s">
        <v>16</v>
      </c>
      <c r="B25" s="219">
        <v>2117.3200000000002</v>
      </c>
      <c r="C25" s="39">
        <f>SUM('K '!L27,'1-3 '!J27,'4-6'!J27,'7-8 '!J27,'9-12 '!J27,'Special Ed (Simplified)'!I27,'Special Ed (Goal)'!T28)</f>
        <v>140.96700045489638</v>
      </c>
      <c r="D25" s="27">
        <f t="shared" si="0"/>
        <v>471386.60117115075</v>
      </c>
      <c r="E25" s="27">
        <f t="shared" si="1"/>
        <v>471386.60117115075</v>
      </c>
    </row>
    <row r="26" spans="1:5" x14ac:dyDescent="0.25">
      <c r="A26" s="41" t="s">
        <v>17</v>
      </c>
      <c r="B26" s="219">
        <v>21287.25</v>
      </c>
      <c r="C26" s="39">
        <f>SUM('K '!L28,'1-3 '!J28,'4-6'!J28,'7-8 '!J28,'9-12 '!J28,'Special Ed (Simplified)'!I28,'Special Ed (Goal)'!T29)</f>
        <v>1276.8656224340612</v>
      </c>
      <c r="D26" s="27">
        <f t="shared" si="0"/>
        <v>4269774.7981383782</v>
      </c>
      <c r="E26" s="27">
        <f t="shared" si="1"/>
        <v>4269774.7981383782</v>
      </c>
    </row>
    <row r="27" spans="1:5" x14ac:dyDescent="0.25">
      <c r="A27" s="41" t="s">
        <v>18</v>
      </c>
      <c r="B27" s="219">
        <v>34520.18</v>
      </c>
      <c r="C27" s="39">
        <f>SUM('K '!L29,'1-3 '!J29,'4-6'!J29,'7-8 '!J29,'9-12 '!J29,'Special Ed (Simplified)'!I29,'Special Ed (Goal)'!T30)</f>
        <v>2112.1296814906145</v>
      </c>
      <c r="D27" s="27">
        <f t="shared" si="0"/>
        <v>7062856.0484205401</v>
      </c>
      <c r="E27" s="27">
        <f t="shared" si="1"/>
        <v>7062856.0484205401</v>
      </c>
    </row>
    <row r="28" spans="1:5" x14ac:dyDescent="0.25">
      <c r="A28" s="41" t="s">
        <v>19</v>
      </c>
      <c r="B28" s="219">
        <v>1587.18</v>
      </c>
      <c r="C28" s="39">
        <f>SUM('K '!L30,'1-3 '!J30,'4-6'!J30,'7-8 '!J30,'9-12 '!J30,'Special Ed (Simplified)'!I30,'Special Ed (Goal)'!T31)</f>
        <v>106.40035626933674</v>
      </c>
      <c r="D28" s="27">
        <f t="shared" si="0"/>
        <v>355797.47134684859</v>
      </c>
      <c r="E28" s="27">
        <f t="shared" si="1"/>
        <v>355797.47134684859</v>
      </c>
    </row>
    <row r="29" spans="1:5" x14ac:dyDescent="0.25">
      <c r="A29" s="41" t="s">
        <v>20</v>
      </c>
      <c r="B29" s="219">
        <v>46485.36</v>
      </c>
      <c r="C29" s="39">
        <f>SUM('K '!L31,'1-3 '!J31,'4-6'!J31,'7-8 '!J31,'9-12 '!J31,'Special Ed (Simplified)'!I31,'Special Ed (Goal)'!T32)</f>
        <v>2764.1147514120739</v>
      </c>
      <c r="D29" s="27">
        <f t="shared" si="0"/>
        <v>9243061.5229844041</v>
      </c>
      <c r="E29" s="27">
        <f t="shared" si="1"/>
        <v>9243061.5229844041</v>
      </c>
    </row>
    <row r="30" spans="1:5" x14ac:dyDescent="0.25">
      <c r="A30" s="41" t="s">
        <v>21</v>
      </c>
      <c r="B30" s="219">
        <v>8259.2199999999993</v>
      </c>
      <c r="C30" s="39">
        <f>SUM('K '!L32,'1-3 '!J32,'4-6'!J32,'7-8 '!J32,'9-12 '!J32,'Special Ed (Simplified)'!I32,'Special Ed (Goal)'!T33)</f>
        <v>528.80302009104196</v>
      </c>
      <c r="D30" s="27">
        <f t="shared" si="0"/>
        <v>1768290.8590334398</v>
      </c>
      <c r="E30" s="27">
        <f t="shared" si="1"/>
        <v>1768290.8590334398</v>
      </c>
    </row>
    <row r="31" spans="1:5" x14ac:dyDescent="0.25">
      <c r="A31" s="41" t="s">
        <v>22</v>
      </c>
      <c r="B31" s="219">
        <v>4970.04</v>
      </c>
      <c r="C31" s="39">
        <f>SUM('K '!L33,'1-3 '!J33,'4-6'!J33,'7-8 '!J33,'9-12 '!J33,'Special Ed (Simplified)'!I33,'Special Ed (Goal)'!T34)</f>
        <v>323.99397119970934</v>
      </c>
      <c r="D31" s="27">
        <f t="shared" si="0"/>
        <v>1083419.6399932681</v>
      </c>
      <c r="E31" s="27">
        <f t="shared" si="1"/>
        <v>1083419.6399932681</v>
      </c>
    </row>
    <row r="32" spans="1:5" x14ac:dyDescent="0.25">
      <c r="A32" s="41" t="s">
        <v>23</v>
      </c>
      <c r="B32" s="219">
        <v>6691.02</v>
      </c>
      <c r="C32" s="39">
        <f>SUM('K '!L34,'1-3 '!J34,'4-6'!J34,'7-8 '!J34,'9-12 '!J34,'Special Ed (Simplified)'!I34,'Special Ed (Goal)'!T35)</f>
        <v>423.81762826024436</v>
      </c>
      <c r="D32" s="27">
        <f t="shared" si="0"/>
        <v>1417224.958020844</v>
      </c>
      <c r="E32" s="27">
        <f t="shared" si="1"/>
        <v>1417224.958020844</v>
      </c>
    </row>
    <row r="33" spans="1:5" x14ac:dyDescent="0.25">
      <c r="A33" s="41" t="s">
        <v>24</v>
      </c>
      <c r="B33" s="219">
        <v>710.4</v>
      </c>
      <c r="C33" s="39">
        <f>SUM('K '!L35,'1-3 '!J35,'4-6'!J35,'7-8 '!J35,'9-12 '!J35,'Special Ed (Simplified)'!I35,'Special Ed (Goal)'!T36)</f>
        <v>50.999651942508052</v>
      </c>
      <c r="D33" s="27">
        <f t="shared" si="0"/>
        <v>170540.28611314978</v>
      </c>
      <c r="E33" s="27">
        <f t="shared" si="1"/>
        <v>170540.28611314978</v>
      </c>
    </row>
    <row r="34" spans="1:5" x14ac:dyDescent="0.25">
      <c r="A34" s="41" t="s">
        <v>25</v>
      </c>
      <c r="B34" s="219">
        <v>2753.54</v>
      </c>
      <c r="C34" s="39">
        <f>SUM('K '!L36,'1-3 '!J36,'4-6'!J36,'7-8 '!J36,'9-12 '!J36,'Special Ed (Simplified)'!I36,'Special Ed (Goal)'!T37)</f>
        <v>191.52168271607982</v>
      </c>
      <c r="D34" s="27">
        <f t="shared" si="0"/>
        <v>640438.9309184351</v>
      </c>
      <c r="E34" s="27">
        <f t="shared" si="1"/>
        <v>640438.9309184351</v>
      </c>
    </row>
    <row r="35" spans="1:5" x14ac:dyDescent="0.25">
      <c r="A35" s="41" t="s">
        <v>26</v>
      </c>
      <c r="B35" s="219">
        <v>1253.3399999999999</v>
      </c>
      <c r="C35" s="39">
        <f>SUM('K '!L37,'1-3 '!J37,'4-6'!J37,'7-8 '!J37,'9-12 '!J37,'Special Ed (Simplified)'!I37,'Special Ed (Goal)'!T38)</f>
        <v>79.075226998598168</v>
      </c>
      <c r="D35" s="27">
        <f t="shared" si="0"/>
        <v>264423.60532196233</v>
      </c>
      <c r="E35" s="27">
        <f t="shared" si="1"/>
        <v>264423.60532196233</v>
      </c>
    </row>
    <row r="36" spans="1:5" x14ac:dyDescent="0.25">
      <c r="A36" s="41" t="s">
        <v>27</v>
      </c>
      <c r="B36" s="219">
        <v>5263.6</v>
      </c>
      <c r="C36" s="39">
        <f>SUM('K '!L38,'1-3 '!J38,'4-6'!J38,'7-8 '!J38,'9-12 '!J38,'Special Ed (Simplified)'!I38,'Special Ed (Goal)'!T39)</f>
        <v>356.3103139110159</v>
      </c>
      <c r="D36" s="27">
        <f t="shared" si="0"/>
        <v>1191483.8742027415</v>
      </c>
      <c r="E36" s="27">
        <f t="shared" si="1"/>
        <v>1191483.8742027415</v>
      </c>
    </row>
    <row r="37" spans="1:5" x14ac:dyDescent="0.25">
      <c r="A37" s="41" t="s">
        <v>28</v>
      </c>
      <c r="B37" s="219">
        <v>9606.7099999999991</v>
      </c>
      <c r="C37" s="39">
        <f>SUM('K '!L39,'1-3 '!J39,'4-6'!J39,'7-8 '!J39,'9-12 '!J39,'Special Ed (Simplified)'!I39,'Special Ed (Goal)'!T40)</f>
        <v>628.57094535922454</v>
      </c>
      <c r="D37" s="27">
        <f t="shared" si="0"/>
        <v>2101909.812733979</v>
      </c>
      <c r="E37" s="27">
        <f t="shared" si="1"/>
        <v>2101909.812733979</v>
      </c>
    </row>
    <row r="38" spans="1:5" x14ac:dyDescent="0.25">
      <c r="A38" s="41" t="s">
        <v>29</v>
      </c>
      <c r="B38" s="219">
        <v>1528.03</v>
      </c>
      <c r="C38" s="39">
        <f>SUM('K '!L40,'1-3 '!J40,'4-6'!J40,'7-8 '!J40,'9-12 '!J40,'Special Ed (Simplified)'!I40,'Special Ed (Goal)'!T41)</f>
        <v>96.869535627030857</v>
      </c>
      <c r="D38" s="27">
        <f t="shared" si="0"/>
        <v>323926.88366000983</v>
      </c>
      <c r="E38" s="27">
        <f t="shared" si="1"/>
        <v>323926.88366000983</v>
      </c>
    </row>
    <row r="39" spans="1:5" x14ac:dyDescent="0.25">
      <c r="A39" s="41" t="s">
        <v>30</v>
      </c>
      <c r="B39" s="219">
        <v>3982.19</v>
      </c>
      <c r="C39" s="39">
        <f>SUM('K '!L41,'1-3 '!J41,'4-6'!J41,'7-8 '!J41,'9-12 '!J41,'Special Ed (Simplified)'!I41,'Special Ed (Goal)'!T42)</f>
        <v>254.62900691202441</v>
      </c>
      <c r="D39" s="27">
        <f t="shared" si="0"/>
        <v>851466.66766346397</v>
      </c>
      <c r="E39" s="27">
        <f t="shared" si="1"/>
        <v>851466.66766346397</v>
      </c>
    </row>
    <row r="40" spans="1:5" x14ac:dyDescent="0.25">
      <c r="A40" s="41" t="s">
        <v>31</v>
      </c>
      <c r="B40" s="219">
        <v>25440.37</v>
      </c>
      <c r="C40" s="39">
        <f>SUM('K '!L42,'1-3 '!J42,'4-6'!J42,'7-8 '!J42,'9-12 '!J42,'Special Ed (Simplified)'!I42,'Special Ed (Goal)'!T43)</f>
        <v>1527.730696952847</v>
      </c>
      <c r="D40" s="27">
        <f t="shared" si="0"/>
        <v>5108655.0640754728</v>
      </c>
      <c r="E40" s="27">
        <f t="shared" si="1"/>
        <v>5108655.0640754728</v>
      </c>
    </row>
    <row r="41" spans="1:5" x14ac:dyDescent="0.25">
      <c r="A41" s="41" t="s">
        <v>32</v>
      </c>
      <c r="B41" s="219">
        <v>2145.29</v>
      </c>
      <c r="C41" s="39">
        <f>SUM('K '!L43,'1-3 '!J43,'4-6'!J43,'7-8 '!J43,'9-12 '!J43,'Special Ed (Simplified)'!I43,'Special Ed (Goal)'!T44)</f>
        <v>146.11211686524993</v>
      </c>
      <c r="D41" s="27">
        <f t="shared" si="0"/>
        <v>488591.61319155246</v>
      </c>
      <c r="E41" s="27">
        <f t="shared" si="1"/>
        <v>488591.61319155246</v>
      </c>
    </row>
    <row r="42" spans="1:5" x14ac:dyDescent="0.25">
      <c r="A42" s="41" t="s">
        <v>33</v>
      </c>
      <c r="B42" s="219">
        <v>3224.83</v>
      </c>
      <c r="C42" s="39">
        <f>SUM('K '!L44,'1-3 '!J44,'4-6'!J44,'7-8 '!J44,'9-12 '!J44,'Special Ed (Simplified)'!I44,'Special Ed (Goal)'!T45)</f>
        <v>201.0773132284817</v>
      </c>
      <c r="D42" s="27">
        <f t="shared" si="0"/>
        <v>672392.48157038132</v>
      </c>
      <c r="E42" s="27">
        <f t="shared" si="1"/>
        <v>672392.48157038132</v>
      </c>
    </row>
    <row r="43" spans="1:5" x14ac:dyDescent="0.25">
      <c r="A43" s="41" t="s">
        <v>34</v>
      </c>
      <c r="B43" s="219">
        <v>2373.3200000000002</v>
      </c>
      <c r="C43" s="39">
        <f>SUM('K '!L45,'1-3 '!J45,'4-6'!J45,'7-8 '!J45,'9-12 '!J45,'Special Ed (Simplified)'!I45,'Special Ed (Goal)'!T46)</f>
        <v>161.6371638829703</v>
      </c>
      <c r="D43" s="27">
        <f t="shared" si="0"/>
        <v>540506.59416645847</v>
      </c>
      <c r="E43" s="27">
        <f t="shared" si="1"/>
        <v>540506.59416645847</v>
      </c>
    </row>
    <row r="44" spans="1:5" x14ac:dyDescent="0.25">
      <c r="A44" s="41" t="s">
        <v>35</v>
      </c>
      <c r="B44" s="219">
        <v>15667.43</v>
      </c>
      <c r="C44" s="39">
        <f>SUM('K '!L46,'1-3 '!J46,'4-6'!J46,'7-8 '!J46,'9-12 '!J46,'Special Ed (Simplified)'!I46,'Special Ed (Goal)'!T47)</f>
        <v>1012.3163260333185</v>
      </c>
      <c r="D44" s="27">
        <f t="shared" si="0"/>
        <v>3385135.1784391152</v>
      </c>
      <c r="E44" s="27">
        <f t="shared" si="1"/>
        <v>3385135.1784391152</v>
      </c>
    </row>
    <row r="45" spans="1:5" x14ac:dyDescent="0.25">
      <c r="A45" s="41" t="s">
        <v>36</v>
      </c>
      <c r="B45" s="219">
        <v>1091.3900000000001</v>
      </c>
      <c r="C45" s="39">
        <f>SUM('K '!L47,'1-3 '!J47,'4-6'!J47,'7-8 '!J47,'9-12 '!J47,'Special Ed (Simplified)'!I47,'Special Ed (Goal)'!T48)</f>
        <v>72.559771072292165</v>
      </c>
      <c r="D45" s="27">
        <f t="shared" ref="D45:D76" si="2">C45*($B$6/$B$7)*$B$4</f>
        <v>242636.24647719137</v>
      </c>
      <c r="E45" s="27">
        <f t="shared" ref="E45:E76" si="3">SUM(D45:D45)</f>
        <v>242636.24647719137</v>
      </c>
    </row>
    <row r="46" spans="1:5" x14ac:dyDescent="0.25">
      <c r="A46" s="41" t="s">
        <v>37</v>
      </c>
      <c r="B46" s="219">
        <v>3269.06</v>
      </c>
      <c r="C46" s="39">
        <f>SUM('K '!L48,'1-3 '!J48,'4-6'!J48,'7-8 '!J48,'9-12 '!J48,'Special Ed (Simplified)'!I48,'Special Ed (Goal)'!T49)</f>
        <v>229.38585763442126</v>
      </c>
      <c r="D46" s="27">
        <f t="shared" si="2"/>
        <v>767054.83863662288</v>
      </c>
      <c r="E46" s="27">
        <f t="shared" si="3"/>
        <v>767054.83863662288</v>
      </c>
    </row>
    <row r="47" spans="1:5" x14ac:dyDescent="0.25">
      <c r="A47" s="41" t="s">
        <v>38</v>
      </c>
      <c r="B47" s="219">
        <v>656.05</v>
      </c>
      <c r="C47" s="39">
        <f>SUM('K '!L49,'1-3 '!J49,'4-6'!J49,'7-8 '!J49,'9-12 '!J49,'Special Ed (Simplified)'!I49,'Special Ed (Goal)'!T50)</f>
        <v>47.00309232669801</v>
      </c>
      <c r="D47" s="27">
        <f t="shared" si="2"/>
        <v>157175.99058586181</v>
      </c>
      <c r="E47" s="27">
        <f t="shared" si="3"/>
        <v>157175.99058586181</v>
      </c>
    </row>
    <row r="48" spans="1:5" x14ac:dyDescent="0.25">
      <c r="A48" s="41" t="s">
        <v>39</v>
      </c>
      <c r="B48" s="219">
        <v>1181.8699999999999</v>
      </c>
      <c r="C48" s="39">
        <f>SUM('K '!L50,'1-3 '!J50,'4-6'!J50,'7-8 '!J50,'9-12 '!J50,'Special Ed (Simplified)'!I50,'Special Ed (Goal)'!T51)</f>
        <v>80.357223320349661</v>
      </c>
      <c r="D48" s="27">
        <f t="shared" si="2"/>
        <v>268710.53692208324</v>
      </c>
      <c r="E48" s="27">
        <f t="shared" si="3"/>
        <v>268710.53692208324</v>
      </c>
    </row>
    <row r="49" spans="1:5" x14ac:dyDescent="0.25">
      <c r="A49" s="41" t="s">
        <v>40</v>
      </c>
      <c r="B49" s="219">
        <v>8929.7900000000009</v>
      </c>
      <c r="C49" s="39">
        <f>SUM('K '!L51,'1-3 '!J51,'4-6'!J51,'7-8 '!J51,'9-12 '!J51,'Special Ed (Simplified)'!I51,'Special Ed (Goal)'!T52)</f>
        <v>578.11903723727858</v>
      </c>
      <c r="D49" s="27">
        <f t="shared" si="2"/>
        <v>1933201.1545695977</v>
      </c>
      <c r="E49" s="27">
        <f t="shared" si="3"/>
        <v>1933201.1545695977</v>
      </c>
    </row>
    <row r="50" spans="1:5" x14ac:dyDescent="0.25">
      <c r="A50" s="41" t="s">
        <v>41</v>
      </c>
      <c r="B50" s="219">
        <v>74161.66</v>
      </c>
      <c r="C50" s="39">
        <f>SUM('K '!L52,'1-3 '!J52,'4-6'!J52,'7-8 '!J52,'9-12 '!J52,'Special Ed (Simplified)'!I52,'Special Ed (Goal)'!T53)</f>
        <v>4623.1873666764677</v>
      </c>
      <c r="D50" s="27">
        <f t="shared" si="2"/>
        <v>15459707.394797774</v>
      </c>
      <c r="E50" s="27">
        <f t="shared" si="3"/>
        <v>15459707.394797774</v>
      </c>
    </row>
    <row r="51" spans="1:5" x14ac:dyDescent="0.25">
      <c r="A51" s="41" t="s">
        <v>42</v>
      </c>
      <c r="B51" s="219">
        <v>8515.0300000000007</v>
      </c>
      <c r="C51" s="39">
        <f>SUM('K '!L53,'1-3 '!J53,'4-6'!J53,'7-8 '!J53,'9-12 '!J53,'Special Ed (Simplified)'!I53,'Special Ed (Goal)'!T54)</f>
        <v>538.57928580357475</v>
      </c>
      <c r="D51" s="27">
        <f t="shared" si="2"/>
        <v>1800982.2027628636</v>
      </c>
      <c r="E51" s="27">
        <f t="shared" si="3"/>
        <v>1800982.2027628636</v>
      </c>
    </row>
    <row r="52" spans="1:5" x14ac:dyDescent="0.25">
      <c r="A52" s="41" t="s">
        <v>43</v>
      </c>
      <c r="B52" s="219">
        <v>898.58</v>
      </c>
      <c r="C52" s="39">
        <f>SUM('K '!L54,'1-3 '!J54,'4-6'!J54,'7-8 '!J54,'9-12 '!J54,'Special Ed (Simplified)'!I54,'Special Ed (Goal)'!T55)</f>
        <v>59.831890812739687</v>
      </c>
      <c r="D52" s="27">
        <f t="shared" si="2"/>
        <v>200074.85128326085</v>
      </c>
      <c r="E52" s="27">
        <f t="shared" si="3"/>
        <v>200074.85128326085</v>
      </c>
    </row>
    <row r="53" spans="1:5" x14ac:dyDescent="0.25">
      <c r="A53" s="41" t="s">
        <v>44</v>
      </c>
      <c r="B53" s="219">
        <v>1516.32</v>
      </c>
      <c r="C53" s="39">
        <f>SUM('K '!L55,'1-3 '!J55,'4-6'!J55,'7-8 '!J55,'9-12 '!J55,'Special Ed (Simplified)'!I55,'Special Ed (Goal)'!T56)</f>
        <v>94.092821757973198</v>
      </c>
      <c r="D53" s="27">
        <f t="shared" si="2"/>
        <v>314641.69131757447</v>
      </c>
      <c r="E53" s="27">
        <f t="shared" si="3"/>
        <v>314641.69131757447</v>
      </c>
    </row>
    <row r="54" spans="1:5" x14ac:dyDescent="0.25">
      <c r="A54" s="41" t="s">
        <v>45</v>
      </c>
      <c r="B54" s="219">
        <v>2087.65</v>
      </c>
      <c r="C54" s="39">
        <f>SUM('K '!L56,'1-3 '!J56,'4-6'!J56,'7-8 '!J56,'9-12 '!J56,'Special Ed (Simplified)'!I56,'Special Ed (Goal)'!T57)</f>
        <v>132.80214293607324</v>
      </c>
      <c r="D54" s="27">
        <f t="shared" si="2"/>
        <v>444083.7258710821</v>
      </c>
      <c r="E54" s="27">
        <f t="shared" si="3"/>
        <v>444083.7258710821</v>
      </c>
    </row>
    <row r="55" spans="1:5" x14ac:dyDescent="0.25">
      <c r="A55" s="41" t="s">
        <v>46</v>
      </c>
      <c r="B55" s="219">
        <v>662.1</v>
      </c>
      <c r="C55" s="39">
        <f>SUM('K '!L57,'1-3 '!J57,'4-6'!J57,'7-8 '!J57,'9-12 '!J57,'Special Ed (Simplified)'!I57,'Special Ed (Goal)'!T58)</f>
        <v>46.417643808441795</v>
      </c>
      <c r="D55" s="27">
        <f t="shared" si="2"/>
        <v>155218.28001323892</v>
      </c>
      <c r="E55" s="27">
        <f t="shared" si="3"/>
        <v>155218.28001323892</v>
      </c>
    </row>
    <row r="56" spans="1:5" x14ac:dyDescent="0.25">
      <c r="A56" s="41" t="s">
        <v>47</v>
      </c>
      <c r="B56" s="219">
        <v>43529.94</v>
      </c>
      <c r="C56" s="39">
        <f>SUM('K '!L58,'1-3 '!J58,'4-6'!J58,'7-8 '!J58,'9-12 '!J58,'Special Ed (Simplified)'!I58,'Special Ed (Goal)'!T59)</f>
        <v>2762.3715365825342</v>
      </c>
      <c r="D56" s="27">
        <f t="shared" si="2"/>
        <v>9237232.2997551654</v>
      </c>
      <c r="E56" s="27">
        <f t="shared" si="3"/>
        <v>9237232.2997551654</v>
      </c>
    </row>
    <row r="57" spans="1:5" x14ac:dyDescent="0.25">
      <c r="A57" s="41" t="s">
        <v>48</v>
      </c>
      <c r="B57" s="219">
        <v>2404.8000000000002</v>
      </c>
      <c r="C57" s="39">
        <f>SUM('K '!L59,'1-3 '!J59,'4-6'!J59,'7-8 '!J59,'9-12 '!J59,'Special Ed (Simplified)'!I59,'Special Ed (Goal)'!T60)</f>
        <v>157.47193263687396</v>
      </c>
      <c r="D57" s="27">
        <f t="shared" si="2"/>
        <v>526578.26914107462</v>
      </c>
      <c r="E57" s="27">
        <f t="shared" si="3"/>
        <v>526578.26914107462</v>
      </c>
    </row>
    <row r="58" spans="1:5" x14ac:dyDescent="0.25">
      <c r="A58" s="41" t="s">
        <v>49</v>
      </c>
      <c r="B58" s="219">
        <v>10525.82</v>
      </c>
      <c r="C58" s="39">
        <f>SUM('K '!L60,'1-3 '!J60,'4-6'!J60,'7-8 '!J60,'9-12 '!J60,'Special Ed (Simplified)'!I60,'Special Ed (Goal)'!T61)</f>
        <v>658.74124712308719</v>
      </c>
      <c r="D58" s="27">
        <f t="shared" si="2"/>
        <v>2202797.7933172472</v>
      </c>
      <c r="E58" s="27">
        <f t="shared" si="3"/>
        <v>2202797.7933172472</v>
      </c>
    </row>
    <row r="59" spans="1:5" x14ac:dyDescent="0.25">
      <c r="A59" s="41" t="s">
        <v>50</v>
      </c>
      <c r="B59" s="219">
        <v>13258.42</v>
      </c>
      <c r="C59" s="39">
        <f>SUM('K '!L61,'1-3 '!J61,'4-6'!J61,'7-8 '!J61,'9-12 '!J61,'Special Ed (Simplified)'!I61,'Special Ed (Goal)'!T62)</f>
        <v>823.22719537790726</v>
      </c>
      <c r="D59" s="27">
        <f t="shared" si="2"/>
        <v>2752830.5799839529</v>
      </c>
      <c r="E59" s="27">
        <f t="shared" si="3"/>
        <v>2752830.5799839529</v>
      </c>
    </row>
    <row r="60" spans="1:5" x14ac:dyDescent="0.25">
      <c r="A60" s="41" t="s">
        <v>51</v>
      </c>
      <c r="B60" s="219">
        <v>5388.16</v>
      </c>
      <c r="C60" s="39">
        <f>SUM('K '!L62,'1-3 '!J62,'4-6'!J62,'7-8 '!J62,'9-12 '!J62,'Special Ed (Simplified)'!I62,'Special Ed (Goal)'!T63)</f>
        <v>354.41748622057878</v>
      </c>
      <c r="D60" s="27">
        <f t="shared" si="2"/>
        <v>1185154.3530473043</v>
      </c>
      <c r="E60" s="27">
        <f t="shared" si="3"/>
        <v>1185154.3530473043</v>
      </c>
    </row>
    <row r="61" spans="1:5" x14ac:dyDescent="0.25">
      <c r="A61" s="41" t="s">
        <v>52</v>
      </c>
      <c r="B61" s="219">
        <v>2979.52</v>
      </c>
      <c r="C61" s="39">
        <f>SUM('K '!L63,'1-3 '!J63,'4-6'!J63,'7-8 '!J63,'9-12 '!J63,'Special Ed (Simplified)'!I63,'Special Ed (Goal)'!T64)</f>
        <v>204.268289794861</v>
      </c>
      <c r="D61" s="27">
        <f t="shared" si="2"/>
        <v>683062.94765952544</v>
      </c>
      <c r="E61" s="27">
        <f t="shared" si="3"/>
        <v>683062.94765952544</v>
      </c>
    </row>
    <row r="62" spans="1:5" x14ac:dyDescent="0.25">
      <c r="A62" s="41" t="s">
        <v>53</v>
      </c>
      <c r="B62" s="219">
        <v>1729.85</v>
      </c>
      <c r="C62" s="39">
        <f>SUM('K '!L64,'1-3 '!J64,'4-6'!J64,'7-8 '!J64,'9-12 '!J64,'Special Ed (Simplified)'!I64,'Special Ed (Goal)'!T65)</f>
        <v>116.09531896309257</v>
      </c>
      <c r="D62" s="27">
        <f t="shared" si="2"/>
        <v>388216.94184663339</v>
      </c>
      <c r="E62" s="27">
        <f t="shared" si="3"/>
        <v>388216.94184663339</v>
      </c>
    </row>
    <row r="63" spans="1:5" x14ac:dyDescent="0.25">
      <c r="A63" s="41" t="s">
        <v>54</v>
      </c>
      <c r="B63" s="219">
        <v>25998.85</v>
      </c>
      <c r="C63" s="39">
        <f>SUM('K '!L65,'1-3 '!J65,'4-6'!J65,'7-8 '!J65,'9-12 '!J65,'Special Ed (Simplified)'!I65,'Special Ed (Goal)'!T66)</f>
        <v>1555.4353164684669</v>
      </c>
      <c r="D63" s="27">
        <f t="shared" si="2"/>
        <v>5201297.9265047293</v>
      </c>
      <c r="E63" s="27">
        <f t="shared" si="3"/>
        <v>5201297.9265047293</v>
      </c>
    </row>
    <row r="64" spans="1:5" x14ac:dyDescent="0.25">
      <c r="A64" s="41" t="s">
        <v>55</v>
      </c>
      <c r="B64" s="219">
        <v>8632.56</v>
      </c>
      <c r="C64" s="39">
        <f>SUM('K '!L66,'1-3 '!J66,'4-6'!J66,'7-8 '!J66,'9-12 '!J66,'Special Ed (Simplified)'!I66,'Special Ed (Goal)'!T67)</f>
        <v>570.37431372194874</v>
      </c>
      <c r="D64" s="27">
        <f t="shared" si="2"/>
        <v>1907303.1863705104</v>
      </c>
      <c r="E64" s="27">
        <f t="shared" si="3"/>
        <v>1907303.1863705104</v>
      </c>
    </row>
    <row r="65" spans="1:5" x14ac:dyDescent="0.25">
      <c r="A65" s="41" t="s">
        <v>56</v>
      </c>
      <c r="B65" s="219">
        <v>1939.18</v>
      </c>
      <c r="C65" s="39">
        <f>SUM('K '!L67,'1-3 '!J67,'4-6'!J67,'7-8 '!J67,'9-12 '!J67,'Special Ed (Simplified)'!I67,'Special Ed (Goal)'!T68)</f>
        <v>128.21556587159526</v>
      </c>
      <c r="D65" s="27">
        <f t="shared" si="2"/>
        <v>428746.44149632094</v>
      </c>
      <c r="E65" s="27">
        <f t="shared" si="3"/>
        <v>428746.44149632094</v>
      </c>
    </row>
    <row r="66" spans="1:5" x14ac:dyDescent="0.25">
      <c r="A66" s="41" t="s">
        <v>57</v>
      </c>
      <c r="B66" s="219">
        <v>3124.12</v>
      </c>
      <c r="C66" s="39">
        <f>SUM('K '!L68,'1-3 '!J68,'4-6'!J68,'7-8 '!J68,'9-12 '!J68,'Special Ed (Simplified)'!I68,'Special Ed (Goal)'!T69)</f>
        <v>215.03443568754568</v>
      </c>
      <c r="D66" s="27">
        <f t="shared" si="2"/>
        <v>719064.40121736831</v>
      </c>
      <c r="E66" s="27">
        <f t="shared" si="3"/>
        <v>719064.40121736831</v>
      </c>
    </row>
    <row r="67" spans="1:5" x14ac:dyDescent="0.25">
      <c r="A67" s="41" t="s">
        <v>58</v>
      </c>
      <c r="B67" s="219">
        <v>16899.259999999998</v>
      </c>
      <c r="C67" s="39">
        <f>SUM('K '!L69,'1-3 '!J69,'4-6'!J69,'7-8 '!J69,'9-12 '!J69,'Special Ed (Simplified)'!I69,'Special Ed (Goal)'!T70)</f>
        <v>1010.6782579771391</v>
      </c>
      <c r="D67" s="27">
        <f t="shared" si="2"/>
        <v>3379657.5607626541</v>
      </c>
      <c r="E67" s="27">
        <f t="shared" si="3"/>
        <v>3379657.5607626541</v>
      </c>
    </row>
    <row r="68" spans="1:5" x14ac:dyDescent="0.25">
      <c r="A68" s="41" t="s">
        <v>59</v>
      </c>
      <c r="B68" s="219">
        <v>4230.8599999999997</v>
      </c>
      <c r="C68" s="39">
        <f>SUM('K '!L70,'1-3 '!J70,'4-6'!J70,'7-8 '!J70,'9-12 '!J70,'Special Ed (Simplified)'!I70,'Special Ed (Goal)'!T71)</f>
        <v>292.70210883095376</v>
      </c>
      <c r="D68" s="27">
        <f t="shared" si="2"/>
        <v>978781.21682526777</v>
      </c>
      <c r="E68" s="27">
        <f t="shared" si="3"/>
        <v>978781.21682526777</v>
      </c>
    </row>
    <row r="69" spans="1:5" x14ac:dyDescent="0.25">
      <c r="A69" s="41" t="s">
        <v>60</v>
      </c>
      <c r="B69" s="219">
        <v>3684.37</v>
      </c>
      <c r="C69" s="39">
        <f>SUM('K '!L71,'1-3 '!J71,'4-6'!J71,'7-8 '!J71,'9-12 '!J71,'Special Ed (Simplified)'!I71,'Special Ed (Goal)'!T72)</f>
        <v>246.95559172690275</v>
      </c>
      <c r="D69" s="27">
        <f t="shared" si="2"/>
        <v>825807.15095517645</v>
      </c>
      <c r="E69" s="27">
        <f t="shared" si="3"/>
        <v>825807.15095517645</v>
      </c>
    </row>
    <row r="70" spans="1:5" x14ac:dyDescent="0.25">
      <c r="A70" s="41" t="s">
        <v>61</v>
      </c>
      <c r="B70" s="219">
        <v>665.85</v>
      </c>
      <c r="C70" s="39">
        <f>SUM('K '!L72,'1-3 '!J72,'4-6'!J72,'7-8 '!J72,'9-12 '!J72,'Special Ed (Simplified)'!I72,'Special Ed (Goal)'!T73)</f>
        <v>45.454563868071524</v>
      </c>
      <c r="D70" s="27">
        <f t="shared" si="2"/>
        <v>151997.78884663776</v>
      </c>
      <c r="E70" s="27">
        <f t="shared" si="3"/>
        <v>151997.78884663776</v>
      </c>
    </row>
    <row r="71" spans="1:5" x14ac:dyDescent="0.25">
      <c r="A71" s="41" t="s">
        <v>62</v>
      </c>
      <c r="B71" s="219">
        <v>5751.42</v>
      </c>
      <c r="C71" s="39">
        <f>SUM('K '!L73,'1-3 '!J73,'4-6'!J73,'7-8 '!J73,'9-12 '!J73,'Special Ed (Simplified)'!I73,'Special Ed (Goal)'!T74)</f>
        <v>371.56790667683276</v>
      </c>
      <c r="D71" s="27">
        <f t="shared" si="2"/>
        <v>1242504.5015319949</v>
      </c>
      <c r="E71" s="27">
        <f t="shared" si="3"/>
        <v>1242504.5015319949</v>
      </c>
    </row>
    <row r="72" spans="1:5" x14ac:dyDescent="0.25">
      <c r="A72" s="41" t="s">
        <v>63</v>
      </c>
      <c r="B72" s="219">
        <v>10099.5</v>
      </c>
      <c r="C72" s="39">
        <f>SUM('K '!L74,'1-3 '!J74,'4-6'!J74,'7-8 '!J74,'9-12 '!J74,'Special Ed (Simplified)'!I74,'Special Ed (Goal)'!T75)</f>
        <v>666.69856126491572</v>
      </c>
      <c r="D72" s="27">
        <f t="shared" si="2"/>
        <v>2229406.6539418148</v>
      </c>
      <c r="E72" s="27">
        <f t="shared" si="3"/>
        <v>2229406.6539418148</v>
      </c>
    </row>
    <row r="73" spans="1:5" x14ac:dyDescent="0.25">
      <c r="A73" s="41" t="s">
        <v>64</v>
      </c>
      <c r="B73" s="219">
        <v>2483.25</v>
      </c>
      <c r="C73" s="39">
        <f>SUM('K '!L75,'1-3 '!J75,'4-6'!J75,'7-8 '!J75,'9-12 '!J75,'Special Ed (Simplified)'!I75,'Special Ed (Goal)'!T76)</f>
        <v>168.11975422391333</v>
      </c>
      <c r="D73" s="27">
        <f t="shared" si="2"/>
        <v>562184.05213705497</v>
      </c>
      <c r="E73" s="27">
        <f t="shared" si="3"/>
        <v>562184.05213705497</v>
      </c>
    </row>
    <row r="74" spans="1:5" x14ac:dyDescent="0.25">
      <c r="A74" s="41" t="s">
        <v>65</v>
      </c>
      <c r="B74" s="219">
        <v>3390.2</v>
      </c>
      <c r="C74" s="39">
        <f>SUM('K '!L76,'1-3 '!J76,'4-6'!J76,'7-8 '!J76,'9-12 '!J76,'Special Ed (Simplified)'!I76,'Special Ed (Goal)'!T77)</f>
        <v>219.65471620092956</v>
      </c>
      <c r="D74" s="27">
        <f t="shared" si="2"/>
        <v>734514.38824009837</v>
      </c>
      <c r="E74" s="27">
        <f t="shared" si="3"/>
        <v>734514.38824009837</v>
      </c>
    </row>
    <row r="75" spans="1:5" x14ac:dyDescent="0.25">
      <c r="A75" s="41" t="s">
        <v>66</v>
      </c>
      <c r="B75" s="219">
        <v>6118.74</v>
      </c>
      <c r="C75" s="39">
        <f>SUM('K '!L77,'1-3 '!J77,'4-6'!J77,'7-8 '!J77,'9-12 '!J77,'Special Ed (Simplified)'!I77,'Special Ed (Goal)'!T78)</f>
        <v>404.11948882581197</v>
      </c>
      <c r="D75" s="27">
        <f t="shared" si="2"/>
        <v>1351355.3646590738</v>
      </c>
      <c r="E75" s="27">
        <f t="shared" si="3"/>
        <v>1351355.3646590738</v>
      </c>
    </row>
    <row r="76" spans="1:5" x14ac:dyDescent="0.25">
      <c r="A76" s="41" t="s">
        <v>67</v>
      </c>
      <c r="B76" s="219">
        <v>15618.17</v>
      </c>
      <c r="C76" s="39">
        <f>SUM('K '!L78,'1-3 '!J78,'4-6'!J78,'7-8 '!J78,'9-12 '!J78,'Special Ed (Simplified)'!I78,'Special Ed (Goal)'!T79)</f>
        <v>970.12943224888613</v>
      </c>
      <c r="D76" s="27">
        <f t="shared" si="2"/>
        <v>3244064.3149686628</v>
      </c>
      <c r="E76" s="27">
        <f t="shared" si="3"/>
        <v>3244064.3149686628</v>
      </c>
    </row>
    <row r="77" spans="1:5" x14ac:dyDescent="0.25">
      <c r="A77" s="41" t="s">
        <v>68</v>
      </c>
      <c r="B77" s="219">
        <v>22502.1</v>
      </c>
      <c r="C77" s="39">
        <f>SUM('K '!L79,'1-3 '!J79,'4-6'!J79,'7-8 '!J79,'9-12 '!J79,'Special Ed (Simplified)'!I79,'Special Ed (Goal)'!T80)</f>
        <v>1468.2483080488514</v>
      </c>
      <c r="D77" s="27">
        <f t="shared" ref="D77:D93" si="4">C77*($B$6/$B$7)*$B$4</f>
        <v>4909748.9296999564</v>
      </c>
      <c r="E77" s="27">
        <f t="shared" ref="E77:E93" si="5">SUM(D77:D77)</f>
        <v>4909748.9296999564</v>
      </c>
    </row>
    <row r="78" spans="1:5" x14ac:dyDescent="0.25">
      <c r="A78" s="41" t="s">
        <v>69</v>
      </c>
      <c r="B78" s="219">
        <v>27586.57</v>
      </c>
      <c r="C78" s="39">
        <f>SUM('K '!L80,'1-3 '!J80,'4-6'!J80,'7-8 '!J80,'9-12 '!J80,'Special Ed (Simplified)'!I80,'Special Ed (Goal)'!T81)</f>
        <v>1690.2759820787135</v>
      </c>
      <c r="D78" s="27">
        <f t="shared" si="4"/>
        <v>5652198.3702721139</v>
      </c>
      <c r="E78" s="27">
        <f t="shared" si="5"/>
        <v>5652198.3702721139</v>
      </c>
    </row>
    <row r="79" spans="1:5" x14ac:dyDescent="0.25">
      <c r="A79" s="41" t="s">
        <v>70</v>
      </c>
      <c r="B79" s="219">
        <v>2197.3200000000002</v>
      </c>
      <c r="C79" s="39">
        <f>SUM('K '!L81,'1-3 '!J81,'4-6'!J81,'7-8 '!J81,'9-12 '!J81,'Special Ed (Simplified)'!I81,'Special Ed (Goal)'!T82)</f>
        <v>147.76238181088081</v>
      </c>
      <c r="D79" s="27">
        <f t="shared" si="4"/>
        <v>494110.01665649487</v>
      </c>
      <c r="E79" s="27">
        <f t="shared" si="5"/>
        <v>494110.01665649487</v>
      </c>
    </row>
    <row r="80" spans="1:5" x14ac:dyDescent="0.25">
      <c r="A80" s="41" t="s">
        <v>71</v>
      </c>
      <c r="B80" s="219">
        <v>4904.8</v>
      </c>
      <c r="C80" s="39">
        <f>SUM('K '!L82,'1-3 '!J82,'4-6'!J82,'7-8 '!J82,'9-12 '!J82,'Special Ed (Simplified)'!I82,'Special Ed (Goal)'!T83)</f>
        <v>298.52448393824329</v>
      </c>
      <c r="D80" s="27">
        <f t="shared" si="4"/>
        <v>998250.9480652886</v>
      </c>
      <c r="E80" s="27">
        <f t="shared" si="5"/>
        <v>998250.9480652886</v>
      </c>
    </row>
    <row r="81" spans="1:5" x14ac:dyDescent="0.25">
      <c r="A81" s="41" t="s">
        <v>72</v>
      </c>
      <c r="B81" s="219">
        <v>9921.15</v>
      </c>
      <c r="C81" s="39">
        <f>SUM('K '!L83,'1-3 '!J83,'4-6'!J83,'7-8 '!J83,'9-12 '!J83,'Special Ed (Simplified)'!I83,'Special Ed (Goal)'!T84)</f>
        <v>615.12827283211686</v>
      </c>
      <c r="D81" s="27">
        <f t="shared" si="4"/>
        <v>2056958.187936957</v>
      </c>
      <c r="E81" s="27">
        <f t="shared" si="5"/>
        <v>2056958.187936957</v>
      </c>
    </row>
    <row r="82" spans="1:5" x14ac:dyDescent="0.25">
      <c r="A82" s="41" t="s">
        <v>73</v>
      </c>
      <c r="B82" s="219">
        <v>2737.16</v>
      </c>
      <c r="C82" s="39">
        <f>SUM('K '!L84,'1-3 '!J84,'4-6'!J84,'7-8 '!J84,'9-12 '!J84,'Special Ed (Simplified)'!I84,'Special Ed (Goal)'!T85)</f>
        <v>179.42411972114556</v>
      </c>
      <c r="D82" s="27">
        <f t="shared" si="4"/>
        <v>599985.28514152463</v>
      </c>
      <c r="E82" s="27">
        <f t="shared" si="5"/>
        <v>599985.28514152463</v>
      </c>
    </row>
    <row r="83" spans="1:5" x14ac:dyDescent="0.25">
      <c r="A83" s="41" t="s">
        <v>74</v>
      </c>
      <c r="B83" s="219">
        <v>2669.43</v>
      </c>
      <c r="C83" s="39">
        <f>SUM('K '!L85,'1-3 '!J85,'4-6'!J85,'7-8 '!J85,'9-12 '!J85,'Special Ed (Simplified)'!I85,'Special Ed (Goal)'!T86)</f>
        <v>171.80108821600123</v>
      </c>
      <c r="D83" s="27">
        <f t="shared" si="4"/>
        <v>574494.24893989728</v>
      </c>
      <c r="E83" s="27">
        <f t="shared" si="5"/>
        <v>574494.24893989728</v>
      </c>
    </row>
    <row r="84" spans="1:5" x14ac:dyDescent="0.25">
      <c r="A84" s="41" t="s">
        <v>75</v>
      </c>
      <c r="B84" s="219">
        <v>8533.4500000000007</v>
      </c>
      <c r="C84" s="39">
        <f>SUM('K '!L86,'1-3 '!J86,'4-6'!J86,'7-8 '!J86,'9-12 '!J86,'Special Ed (Simplified)'!I86,'Special Ed (Goal)'!T87)</f>
        <v>527.91610415828268</v>
      </c>
      <c r="D84" s="27">
        <f t="shared" si="4"/>
        <v>1765325.0565000894</v>
      </c>
      <c r="E84" s="27">
        <f t="shared" si="5"/>
        <v>1765325.0565000894</v>
      </c>
    </row>
    <row r="85" spans="1:5" x14ac:dyDescent="0.25">
      <c r="A85" s="41" t="s">
        <v>76</v>
      </c>
      <c r="B85" s="219">
        <v>10966.62</v>
      </c>
      <c r="C85" s="39">
        <f>SUM('K '!L87,'1-3 '!J87,'4-6'!J87,'7-8 '!J87,'9-12 '!J87,'Special Ed (Simplified)'!I87,'Special Ed (Goal)'!T88)</f>
        <v>705.36064812289908</v>
      </c>
      <c r="D85" s="27">
        <f t="shared" si="4"/>
        <v>2358690.739290568</v>
      </c>
      <c r="E85" s="27">
        <f t="shared" si="5"/>
        <v>2358690.739290568</v>
      </c>
    </row>
    <row r="86" spans="1:5" x14ac:dyDescent="0.25">
      <c r="A86" s="41" t="s">
        <v>77</v>
      </c>
      <c r="B86" s="219">
        <v>7107.44</v>
      </c>
      <c r="C86" s="39">
        <f>SUM('K '!L88,'1-3 '!J88,'4-6'!J88,'7-8 '!J88,'9-12 '!J88,'Special Ed (Simplified)'!I88,'Special Ed (Goal)'!T89)</f>
        <v>450.67485560559646</v>
      </c>
      <c r="D86" s="27">
        <f t="shared" si="4"/>
        <v>1507034.1834023341</v>
      </c>
      <c r="E86" s="27">
        <f t="shared" si="5"/>
        <v>1507034.1834023341</v>
      </c>
    </row>
    <row r="87" spans="1:5" x14ac:dyDescent="0.25">
      <c r="A87" s="41" t="s">
        <v>78</v>
      </c>
      <c r="B87" s="219">
        <v>15888.61</v>
      </c>
      <c r="C87" s="39">
        <f>SUM('K '!L89,'1-3 '!J89,'4-6'!J89,'7-8 '!J89,'9-12 '!J89,'Special Ed (Simplified)'!I89,'Special Ed (Goal)'!T90)</f>
        <v>1040.2071470481424</v>
      </c>
      <c r="D87" s="27">
        <f t="shared" si="4"/>
        <v>3478400.6893716357</v>
      </c>
      <c r="E87" s="27">
        <f t="shared" si="5"/>
        <v>3478400.6893716357</v>
      </c>
    </row>
    <row r="88" spans="1:5" x14ac:dyDescent="0.25">
      <c r="A88" s="41" t="s">
        <v>79</v>
      </c>
      <c r="B88" s="219">
        <v>3787.02</v>
      </c>
      <c r="C88" s="39">
        <f>SUM('K '!L90,'1-3 '!J90,'4-6'!J90,'7-8 '!J90,'9-12 '!J90,'Special Ed (Simplified)'!I90,'Special Ed (Goal)'!T91)</f>
        <v>250.70103599683736</v>
      </c>
      <c r="D88" s="27">
        <f t="shared" si="4"/>
        <v>838331.72932162427</v>
      </c>
      <c r="E88" s="27">
        <f t="shared" si="5"/>
        <v>838331.72932162427</v>
      </c>
    </row>
    <row r="89" spans="1:5" x14ac:dyDescent="0.25">
      <c r="A89" s="41" t="s">
        <v>80</v>
      </c>
      <c r="B89" s="219">
        <v>3426.1</v>
      </c>
      <c r="C89" s="39">
        <f>SUM('K '!L91,'1-3 '!J91,'4-6'!J91,'7-8 '!J91,'9-12 '!J91,'Special Ed (Simplified)'!I91,'Special Ed (Goal)'!T92)</f>
        <v>237.62264433700483</v>
      </c>
      <c r="D89" s="27">
        <f t="shared" si="4"/>
        <v>794598.24153072725</v>
      </c>
      <c r="E89" s="27">
        <f t="shared" si="5"/>
        <v>794598.24153072725</v>
      </c>
    </row>
    <row r="90" spans="1:5" x14ac:dyDescent="0.25">
      <c r="A90" s="41" t="s">
        <v>81</v>
      </c>
      <c r="B90" s="219">
        <v>4956.4399999999996</v>
      </c>
      <c r="C90" s="39">
        <f>SUM('K '!L92,'1-3 '!J92,'4-6'!J92,'7-8 '!J92,'9-12 '!J92,'Special Ed (Simplified)'!I92,'Special Ed (Goal)'!T93)</f>
        <v>327.56641375436897</v>
      </c>
      <c r="D90" s="27">
        <f t="shared" si="4"/>
        <v>1095365.709273922</v>
      </c>
      <c r="E90" s="27">
        <f t="shared" si="5"/>
        <v>1095365.709273922</v>
      </c>
    </row>
    <row r="91" spans="1:5" x14ac:dyDescent="0.25">
      <c r="A91" s="41" t="s">
        <v>82</v>
      </c>
      <c r="B91" s="219">
        <v>7694.47</v>
      </c>
      <c r="C91" s="39">
        <f>SUM('K '!L93,'1-3 '!J93,'4-6'!J93,'7-8 '!J93,'9-12 '!J93,'Special Ed (Simplified)'!I93,'Special Ed (Goal)'!T94)</f>
        <v>435.58791545790911</v>
      </c>
      <c r="D91" s="27">
        <f t="shared" si="4"/>
        <v>1456584.2098954751</v>
      </c>
      <c r="E91" s="27">
        <f t="shared" si="5"/>
        <v>1456584.2098954751</v>
      </c>
    </row>
    <row r="92" spans="1:5" x14ac:dyDescent="0.25">
      <c r="A92" s="41" t="s">
        <v>83</v>
      </c>
      <c r="B92" s="219">
        <v>17132.009999999998</v>
      </c>
      <c r="C92" s="39">
        <f>SUM('K '!L94,'1-3 '!J94,'4-6'!J94,'7-8 '!J94,'9-12 '!J94,'Special Ed (Simplified)'!I94,'Special Ed (Goal)'!T95)</f>
        <v>1083.5972663776447</v>
      </c>
      <c r="D92" s="27">
        <f t="shared" si="4"/>
        <v>3623495.0789035247</v>
      </c>
      <c r="E92" s="27">
        <f t="shared" si="5"/>
        <v>3623495.0789035247</v>
      </c>
    </row>
    <row r="93" spans="1:5" x14ac:dyDescent="0.25">
      <c r="A93" s="41" t="s">
        <v>84</v>
      </c>
      <c r="B93" s="219">
        <v>15937.31</v>
      </c>
      <c r="C93" s="39">
        <f>SUM('K '!L95,'1-3 '!J95,'4-6'!J95,'7-8 '!J95,'9-12 '!J95,'Special Ed (Simplified)'!I95,'Special Ed (Goal)'!T96)</f>
        <v>866.56061645246393</v>
      </c>
      <c r="D93" s="27">
        <f t="shared" si="4"/>
        <v>2897735.3733862168</v>
      </c>
      <c r="E93" s="27">
        <f t="shared" si="5"/>
        <v>2897735.3733862168</v>
      </c>
    </row>
    <row r="94" spans="1:5" ht="15.75" thickBot="1" x14ac:dyDescent="0.3">
      <c r="A94" s="687" t="s">
        <v>312</v>
      </c>
      <c r="B94" s="223">
        <v>721122.25</v>
      </c>
      <c r="C94" s="224">
        <f t="shared" ref="C94:E94" si="6">SUM(C13:C93)</f>
        <v>45241.326238311362</v>
      </c>
      <c r="D94" s="21">
        <f t="shared" si="6"/>
        <v>151284732.87460127</v>
      </c>
      <c r="E94" s="21">
        <f t="shared" si="6"/>
        <v>151284732.87460127</v>
      </c>
    </row>
  </sheetData>
  <mergeCells count="7">
    <mergeCell ref="A3:B3"/>
    <mergeCell ref="D9:E9"/>
    <mergeCell ref="D10:D11"/>
    <mergeCell ref="E10:E11"/>
    <mergeCell ref="A10:A11"/>
    <mergeCell ref="B10:B11"/>
    <mergeCell ref="C10:C11"/>
  </mergeCells>
  <printOptions horizontalCentered="1"/>
  <pageMargins left="0.7" right="0.7" top="0.75" bottom="0.75" header="0.3" footer="0.3"/>
  <pageSetup scale="66" fitToHeight="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>
    <pageSetUpPr fitToPage="1"/>
  </sheetPr>
  <dimension ref="A1:J86"/>
  <sheetViews>
    <sheetView workbookViewId="0">
      <selection activeCell="L17" sqref="L17"/>
    </sheetView>
  </sheetViews>
  <sheetFormatPr defaultRowHeight="15" x14ac:dyDescent="0.25"/>
  <cols>
    <col min="1" max="1" width="17.28515625" bestFit="1" customWidth="1"/>
    <col min="2" max="2" width="21.85546875" bestFit="1" customWidth="1"/>
    <col min="3" max="3" width="15.5703125" customWidth="1"/>
    <col min="4" max="4" width="13.7109375" customWidth="1"/>
    <col min="5" max="5" width="19.28515625" customWidth="1"/>
    <col min="6" max="6" width="20.140625" customWidth="1"/>
    <col min="7" max="7" width="19.140625" customWidth="1"/>
    <col min="10" max="10" width="12.140625" bestFit="1" customWidth="1"/>
  </cols>
  <sheetData>
    <row r="1" spans="1:10" ht="23.25" x14ac:dyDescent="0.35">
      <c r="A1" s="4" t="s">
        <v>676</v>
      </c>
      <c r="C1" s="1"/>
    </row>
    <row r="2" spans="1:10" ht="15.75" thickBot="1" x14ac:dyDescent="0.3"/>
    <row r="3" spans="1:10" ht="33" customHeight="1" thickBot="1" x14ac:dyDescent="0.3">
      <c r="A3" s="198" t="s">
        <v>0</v>
      </c>
      <c r="B3" s="198" t="s">
        <v>591</v>
      </c>
      <c r="C3" s="198" t="s">
        <v>147</v>
      </c>
      <c r="D3" s="198" t="s">
        <v>577</v>
      </c>
      <c r="E3" s="198" t="s">
        <v>125</v>
      </c>
      <c r="F3" s="198" t="s">
        <v>637</v>
      </c>
      <c r="G3" s="198" t="s">
        <v>126</v>
      </c>
    </row>
    <row r="4" spans="1:10" s="3" customFormat="1" ht="15.75" thickBot="1" x14ac:dyDescent="0.3">
      <c r="A4" s="814" t="s">
        <v>715</v>
      </c>
      <c r="B4" s="815" t="s">
        <v>716</v>
      </c>
      <c r="C4" s="815" t="s">
        <v>717</v>
      </c>
      <c r="D4" s="815" t="s">
        <v>718</v>
      </c>
      <c r="E4" s="815" t="s">
        <v>719</v>
      </c>
      <c r="F4" s="815" t="s">
        <v>720</v>
      </c>
      <c r="G4" s="815" t="s">
        <v>721</v>
      </c>
    </row>
    <row r="5" spans="1:10" x14ac:dyDescent="0.25">
      <c r="A5" s="40" t="s">
        <v>4</v>
      </c>
      <c r="B5" s="813">
        <f>SUM('K '!N15,'1-3 '!K15,'4-6'!K15,'7-8 '!K15,'9-12 '!K15,'Special Ed (Simplified)'!K15,'Special Ed (Goal)'!$U$15,'Other Spec'!O15)</f>
        <v>13374118.507817799</v>
      </c>
      <c r="C5" s="813">
        <f>'Inst. Support '!M14</f>
        <v>1214398.0458181773</v>
      </c>
      <c r="D5" s="813">
        <f>Health!G14</f>
        <v>369629.31112137507</v>
      </c>
      <c r="E5" s="813">
        <f>'Sch Admin'!H15</f>
        <v>1871385.8801185773</v>
      </c>
      <c r="F5" s="813">
        <f>'Mtrl &amp; Tech'!E13</f>
        <v>622287.28017305245</v>
      </c>
      <c r="G5" s="813">
        <f>SUM(B5:F5)</f>
        <v>17451819.025048982</v>
      </c>
      <c r="J5" s="292"/>
    </row>
    <row r="6" spans="1:10" x14ac:dyDescent="0.25">
      <c r="A6" s="41" t="s">
        <v>5</v>
      </c>
      <c r="B6" s="31">
        <f>SUM('K '!N16,'1-3 '!K16,'4-6'!K16,'7-8 '!K16,'9-12 '!K16,'Special Ed (Simplified)'!K16,'Special Ed (Goal)'!$U$15,'Other Spec'!O16)</f>
        <v>106617127.4151924</v>
      </c>
      <c r="C6" s="31">
        <f>'Inst. Support '!M15</f>
        <v>9681504.7653282154</v>
      </c>
      <c r="D6" s="31">
        <f>Health!G15</f>
        <v>2946783.3461602675</v>
      </c>
      <c r="E6" s="31">
        <f>'Sch Admin'!H16</f>
        <v>14746716.783226028</v>
      </c>
      <c r="F6" s="31">
        <f>'Mtrl &amp; Tech'!E14</f>
        <v>4903688.9590801885</v>
      </c>
      <c r="G6" s="31">
        <f t="shared" ref="G6:G69" si="0">SUM(B6:F6)</f>
        <v>138895821.26898709</v>
      </c>
      <c r="J6" s="292"/>
    </row>
    <row r="7" spans="1:10" x14ac:dyDescent="0.25">
      <c r="A7" s="41" t="s">
        <v>6</v>
      </c>
      <c r="B7" s="31">
        <f>SUM('K '!N17,'1-3 '!K17,'4-6'!K17,'7-8 '!K17,'9-12 '!K17,'Special Ed (Simplified)'!K17,'Special Ed (Goal)'!$U$15,'Other Spec'!O17)</f>
        <v>5020031.3356885146</v>
      </c>
      <c r="C7" s="31">
        <f>'Inst. Support '!M16</f>
        <v>428356.05084647465</v>
      </c>
      <c r="D7" s="31">
        <f>Health!G16</f>
        <v>130379.78159984716</v>
      </c>
      <c r="E7" s="31">
        <f>'Sch Admin'!H17</f>
        <v>697060.5320295858</v>
      </c>
      <c r="F7" s="31">
        <f>'Mtrl &amp; Tech'!E15</f>
        <v>231791.80050518847</v>
      </c>
      <c r="G7" s="31">
        <f t="shared" si="0"/>
        <v>6507619.5006696107</v>
      </c>
      <c r="J7" s="292"/>
    </row>
    <row r="8" spans="1:10" x14ac:dyDescent="0.25">
      <c r="A8" s="41" t="s">
        <v>7</v>
      </c>
      <c r="B8" s="31">
        <f>SUM('K '!N18,'1-3 '!K18,'4-6'!K18,'7-8 '!K18,'9-12 '!K18,'Special Ed (Simplified)'!K18,'Special Ed (Goal)'!$U$15,'Other Spec'!O18)</f>
        <v>43910536.249409378</v>
      </c>
      <c r="C8" s="31">
        <f>'Inst. Support '!M17</f>
        <v>4112680.3653284707</v>
      </c>
      <c r="D8" s="31">
        <f>Health!G17</f>
        <v>1251786.6078041855</v>
      </c>
      <c r="E8" s="31">
        <f>'Sch Admin'!H18</f>
        <v>6047918.3326972546</v>
      </c>
      <c r="F8" s="31">
        <f>'Mtrl &amp; Tech'!E16</f>
        <v>2011099.2019050855</v>
      </c>
      <c r="G8" s="31">
        <f t="shared" si="0"/>
        <v>57334020.757144377</v>
      </c>
      <c r="J8" s="292"/>
    </row>
    <row r="9" spans="1:10" x14ac:dyDescent="0.25">
      <c r="A9" s="41" t="s">
        <v>8</v>
      </c>
      <c r="B9" s="31">
        <f>SUM('K '!N19,'1-3 '!K19,'4-6'!K19,'7-8 '!K19,'9-12 '!K19,'Special Ed (Simplified)'!K19,'Special Ed (Goal)'!$U$15,'Other Spec'!O19)</f>
        <v>17108244.473868884</v>
      </c>
      <c r="C9" s="31">
        <f>'Inst. Support '!M18</f>
        <v>1507144.4546670543</v>
      </c>
      <c r="D9" s="31">
        <f>Health!G18</f>
        <v>458733.25344793242</v>
      </c>
      <c r="E9" s="31">
        <f>'Sch Admin'!H19</f>
        <v>2333573.5179262985</v>
      </c>
      <c r="F9" s="31">
        <f>'Mtrl &amp; Tech'!E17</f>
        <v>775977.38284858968</v>
      </c>
      <c r="G9" s="31">
        <f t="shared" si="0"/>
        <v>22183673.082758758</v>
      </c>
      <c r="J9" s="292"/>
    </row>
    <row r="10" spans="1:10" x14ac:dyDescent="0.25">
      <c r="A10" s="41" t="s">
        <v>9</v>
      </c>
      <c r="B10" s="31">
        <f>SUM('K '!N20,'1-3 '!K20,'4-6'!K20,'7-8 '!K20,'9-12 '!K20,'Special Ed (Simplified)'!K20,'Special Ed (Goal)'!$U$15,'Other Spec'!O20)</f>
        <v>11783401.875417106</v>
      </c>
      <c r="C10" s="31">
        <f>'Inst. Support '!M19</f>
        <v>1032439.9084642974</v>
      </c>
      <c r="D10" s="31">
        <f>Health!G19</f>
        <v>314246.26666190376</v>
      </c>
      <c r="E10" s="31">
        <f>'Sch Admin'!H20</f>
        <v>1627363.8071114824</v>
      </c>
      <c r="F10" s="31">
        <f>'Mtrl &amp; Tech'!E18</f>
        <v>541143.22873660934</v>
      </c>
      <c r="G10" s="31">
        <f t="shared" si="0"/>
        <v>15298595.086391399</v>
      </c>
      <c r="J10" s="292"/>
    </row>
    <row r="11" spans="1:10" x14ac:dyDescent="0.25">
      <c r="A11" s="41" t="s">
        <v>10</v>
      </c>
      <c r="B11" s="31">
        <f>SUM('K '!N21,'1-3 '!K21,'4-6'!K21,'7-8 '!K21,'9-12 '!K21,'Special Ed (Simplified)'!K21,'Special Ed (Goal)'!$U$15,'Other Spec'!O21)</f>
        <v>12750554.837899562</v>
      </c>
      <c r="C11" s="31">
        <f>'Inst. Support '!M20</f>
        <v>1142903.3365198309</v>
      </c>
      <c r="D11" s="31">
        <f>Health!G20</f>
        <v>347868.2911347475</v>
      </c>
      <c r="E11" s="31">
        <f>'Sch Admin'!H21</f>
        <v>1759459.0322109256</v>
      </c>
      <c r="F11" s="31">
        <f>'Mtrl &amp; Tech'!E19</f>
        <v>585068.52454239526</v>
      </c>
      <c r="G11" s="31">
        <f t="shared" si="0"/>
        <v>16585854.022307459</v>
      </c>
      <c r="J11" s="292"/>
    </row>
    <row r="12" spans="1:10" x14ac:dyDescent="0.25">
      <c r="A12" s="41" t="s">
        <v>11</v>
      </c>
      <c r="B12" s="31">
        <f>SUM('K '!N22,'1-3 '!K22,'4-6'!K22,'7-8 '!K22,'9-12 '!K22,'Special Ed (Simplified)'!K22,'Special Ed (Goal)'!$U$15,'Other Spec'!O22)</f>
        <v>57678542.568718165</v>
      </c>
      <c r="C12" s="31">
        <f>'Inst. Support '!M21</f>
        <v>5277294.0717191165</v>
      </c>
      <c r="D12" s="31">
        <f>Health!G21</f>
        <v>1606262.937454124</v>
      </c>
      <c r="E12" s="31">
        <f>'Sch Admin'!H22</f>
        <v>8055406.8755383436</v>
      </c>
      <c r="F12" s="31">
        <f>'Mtrl &amp; Tech'!E20</f>
        <v>2678644.3611236587</v>
      </c>
      <c r="G12" s="31">
        <f t="shared" si="0"/>
        <v>75296150.81455341</v>
      </c>
      <c r="J12" s="292"/>
    </row>
    <row r="13" spans="1:10" x14ac:dyDescent="0.25">
      <c r="A13" s="41" t="s">
        <v>12</v>
      </c>
      <c r="B13" s="31">
        <f>SUM('K '!N23,'1-3 '!K23,'4-6'!K23,'7-8 '!K23,'9-12 '!K23,'Special Ed (Simplified)'!K23,'Special Ed (Goal)'!$U$15,'Other Spec'!O23)</f>
        <v>5904228.0879034512</v>
      </c>
      <c r="C13" s="31">
        <f>'Inst. Support '!M22</f>
        <v>523397.74484644935</v>
      </c>
      <c r="D13" s="31">
        <f>Health!G22</f>
        <v>159307.85506142036</v>
      </c>
      <c r="E13" s="31">
        <f>'Sch Admin'!H23</f>
        <v>824912.32456974173</v>
      </c>
      <c r="F13" s="31">
        <f>'Mtrl &amp; Tech'!E21</f>
        <v>274306.03826358274</v>
      </c>
      <c r="G13" s="31">
        <f t="shared" si="0"/>
        <v>7686152.0506446445</v>
      </c>
      <c r="J13" s="292"/>
    </row>
    <row r="14" spans="1:10" x14ac:dyDescent="0.25">
      <c r="A14" s="41" t="s">
        <v>13</v>
      </c>
      <c r="B14" s="31">
        <f>SUM('K '!N24,'1-3 '!K24,'4-6'!K24,'7-8 '!K24,'9-12 '!K24,'Special Ed (Simplified)'!K24,'Special Ed (Goal)'!$U$15,'Other Spec'!O24)</f>
        <v>3284379.8263110416</v>
      </c>
      <c r="C14" s="31">
        <f>'Inst. Support '!M23</f>
        <v>265809.3913302829</v>
      </c>
      <c r="D14" s="31">
        <f>Health!G23</f>
        <v>80905.056250160371</v>
      </c>
      <c r="E14" s="31">
        <f>'Sch Admin'!H24</f>
        <v>460664.0223823702</v>
      </c>
      <c r="F14" s="31">
        <f>'Mtrl &amp; Tech'!E22</f>
        <v>153183.45863747736</v>
      </c>
      <c r="G14" s="31">
        <f t="shared" si="0"/>
        <v>4244941.7549113333</v>
      </c>
      <c r="J14" s="292"/>
    </row>
    <row r="15" spans="1:10" x14ac:dyDescent="0.25">
      <c r="A15" s="41" t="s">
        <v>14</v>
      </c>
      <c r="B15" s="31">
        <f>SUM('K '!N25,'1-3 '!K25,'4-6'!K25,'7-8 '!K25,'9-12 '!K25,'Special Ed (Simplified)'!K25,'Special Ed (Goal)'!$U$15,'Other Spec'!O25)</f>
        <v>2989595.8389815427</v>
      </c>
      <c r="C15" s="31">
        <f>'Inst. Support '!M24</f>
        <v>244523.81672645872</v>
      </c>
      <c r="D15" s="31">
        <f>Health!G24</f>
        <v>74426.313712055096</v>
      </c>
      <c r="E15" s="31">
        <f>'Sch Admin'!H25</f>
        <v>412290.97972386109</v>
      </c>
      <c r="F15" s="31">
        <f>'Mtrl &amp; Tech'!E23</f>
        <v>137098.09138668285</v>
      </c>
      <c r="G15" s="31">
        <f t="shared" si="0"/>
        <v>3857935.0405306006</v>
      </c>
      <c r="J15" s="292"/>
    </row>
    <row r="16" spans="1:10" x14ac:dyDescent="0.25">
      <c r="A16" s="41" t="s">
        <v>15</v>
      </c>
      <c r="B16" s="31">
        <f>SUM('K '!N26,'1-3 '!K26,'4-6'!K26,'7-8 '!K26,'9-12 '!K26,'Special Ed (Simplified)'!K26,'Special Ed (Goal)'!$U$15,'Other Spec'!O26)</f>
        <v>3961621.1888930579</v>
      </c>
      <c r="C16" s="31">
        <f>'Inst. Support '!M25</f>
        <v>342664.0173797782</v>
      </c>
      <c r="D16" s="31">
        <f>Health!G25</f>
        <v>104297.48724178527</v>
      </c>
      <c r="E16" s="31">
        <f>'Sch Admin'!H26</f>
        <v>546750.5957138642</v>
      </c>
      <c r="F16" s="31">
        <f>'Mtrl &amp; Tech'!E24</f>
        <v>181809.61219939217</v>
      </c>
      <c r="G16" s="31">
        <f t="shared" si="0"/>
        <v>5137142.9014278771</v>
      </c>
      <c r="J16" s="292"/>
    </row>
    <row r="17" spans="1:10" x14ac:dyDescent="0.25">
      <c r="A17" s="41" t="s">
        <v>16</v>
      </c>
      <c r="B17" s="31">
        <f>SUM('K '!N27,'1-3 '!K27,'4-6'!K27,'7-8 '!K27,'9-12 '!K27,'Special Ed (Simplified)'!K27,'Special Ed (Goal)'!$U$15,'Other Spec'!O27)</f>
        <v>10213799.493793275</v>
      </c>
      <c r="C17" s="31">
        <f>'Inst. Support '!M26</f>
        <v>881791.68108332867</v>
      </c>
      <c r="D17" s="31">
        <f>Health!G26</f>
        <v>268393.09627824451</v>
      </c>
      <c r="E17" s="31">
        <f>'Sch Admin'!H27</f>
        <v>1417586.7924915031</v>
      </c>
      <c r="F17" s="31">
        <f>'Mtrl &amp; Tech'!E25</f>
        <v>471386.60117115075</v>
      </c>
      <c r="G17" s="31">
        <f t="shared" si="0"/>
        <v>13252957.664817503</v>
      </c>
      <c r="J17" s="292"/>
    </row>
    <row r="18" spans="1:10" x14ac:dyDescent="0.25">
      <c r="A18" s="41" t="s">
        <v>17</v>
      </c>
      <c r="B18" s="31">
        <f>SUM('K '!N28,'1-3 '!K28,'4-6'!K28,'7-8 '!K28,'9-12 '!K28,'Special Ed (Simplified)'!K28,'Special Ed (Goal)'!$U$15,'Other Spec'!O28)</f>
        <v>94499671.587233469</v>
      </c>
      <c r="C18" s="31">
        <f>'Inst. Support '!M27</f>
        <v>8865414.7522061337</v>
      </c>
      <c r="D18" s="31">
        <f>Health!G27</f>
        <v>2698388.0276713297</v>
      </c>
      <c r="E18" s="31">
        <f>'Sch Admin'!H28</f>
        <v>12840365.733171107</v>
      </c>
      <c r="F18" s="31">
        <f>'Mtrl &amp; Tech'!E26</f>
        <v>4269774.7981383782</v>
      </c>
      <c r="G18" s="31">
        <f t="shared" si="0"/>
        <v>123173614.89842042</v>
      </c>
      <c r="J18" s="292"/>
    </row>
    <row r="19" spans="1:10" x14ac:dyDescent="0.25">
      <c r="A19" s="41" t="s">
        <v>18</v>
      </c>
      <c r="B19" s="31">
        <f>SUM('K '!N29,'1-3 '!K29,'4-6'!K29,'7-8 '!K29,'9-12 '!K29,'Special Ed (Simplified)'!K29,'Special Ed (Goal)'!$U$15,'Other Spec'!O29)</f>
        <v>153441572.57642677</v>
      </c>
      <c r="C19" s="31">
        <f>'Inst. Support '!M28</f>
        <v>14376479.489873568</v>
      </c>
      <c r="D19" s="31">
        <f>Health!G28</f>
        <v>4375804.315966567</v>
      </c>
      <c r="E19" s="31">
        <f>'Sch Admin'!H29</f>
        <v>21239915.234405354</v>
      </c>
      <c r="F19" s="31">
        <f>'Mtrl &amp; Tech'!E27</f>
        <v>7062856.0484205401</v>
      </c>
      <c r="G19" s="31">
        <f t="shared" si="0"/>
        <v>200496627.66509283</v>
      </c>
      <c r="J19" s="292"/>
    </row>
    <row r="20" spans="1:10" x14ac:dyDescent="0.25">
      <c r="A20" s="41" t="s">
        <v>19</v>
      </c>
      <c r="B20" s="31">
        <f>SUM('K '!N30,'1-3 '!K30,'4-6'!K30,'7-8 '!K30,'9-12 '!K30,'Special Ed (Simplified)'!K30,'Special Ed (Goal)'!$U$15,'Other Spec'!O30)</f>
        <v>7686082.6294967849</v>
      </c>
      <c r="C20" s="31">
        <f>'Inst. Support '!M29</f>
        <v>661006.42339459213</v>
      </c>
      <c r="D20" s="31">
        <f>Health!G29</f>
        <v>201192.14599158565</v>
      </c>
      <c r="E20" s="31">
        <f>'Sch Admin'!H30</f>
        <v>1069979.0679880586</v>
      </c>
      <c r="F20" s="31">
        <f>'Mtrl &amp; Tech'!E28</f>
        <v>355797.47134684859</v>
      </c>
      <c r="G20" s="31">
        <f t="shared" si="0"/>
        <v>9974057.7382178698</v>
      </c>
      <c r="J20" s="292"/>
    </row>
    <row r="21" spans="1:10" x14ac:dyDescent="0.25">
      <c r="A21" s="41" t="s">
        <v>20</v>
      </c>
      <c r="B21" s="31">
        <f>SUM('K '!N31,'1-3 '!K31,'4-6'!K31,'7-8 '!K31,'9-12 '!K31,'Special Ed (Simplified)'!K31,'Special Ed (Goal)'!$U$15,'Other Spec'!O31)</f>
        <v>201378758.7708081</v>
      </c>
      <c r="C21" s="31">
        <f>'Inst. Support '!M30</f>
        <v>19359569.521925703</v>
      </c>
      <c r="D21" s="31">
        <f>Health!G30</f>
        <v>5892519.6484276615</v>
      </c>
      <c r="E21" s="31">
        <f>'Sch Admin'!H31</f>
        <v>27796381.790690139</v>
      </c>
      <c r="F21" s="31">
        <f>'Mtrl &amp; Tech'!E29</f>
        <v>9243061.5229844041</v>
      </c>
      <c r="G21" s="31">
        <f t="shared" si="0"/>
        <v>263670291.25483599</v>
      </c>
      <c r="J21" s="292"/>
    </row>
    <row r="22" spans="1:10" x14ac:dyDescent="0.25">
      <c r="A22" s="41" t="s">
        <v>21</v>
      </c>
      <c r="B22" s="31">
        <f>SUM('K '!N32,'1-3 '!K32,'4-6'!K32,'7-8 '!K32,'9-12 '!K32,'Special Ed (Simplified)'!K32,'Special Ed (Goal)'!$U$15,'Other Spec'!O32)</f>
        <v>38310046.986919791</v>
      </c>
      <c r="C22" s="31">
        <f>'Inst. Support '!M31</f>
        <v>3439683.8872900885</v>
      </c>
      <c r="D22" s="31">
        <f>Health!G31</f>
        <v>1046945.0194789651</v>
      </c>
      <c r="E22" s="31">
        <f>'Sch Admin'!H32</f>
        <v>5317728.0831092717</v>
      </c>
      <c r="F22" s="31">
        <f>'Mtrl &amp; Tech'!E30</f>
        <v>1768290.8590334398</v>
      </c>
      <c r="G22" s="31">
        <f t="shared" si="0"/>
        <v>49882694.83583156</v>
      </c>
      <c r="J22" s="292"/>
    </row>
    <row r="23" spans="1:10" x14ac:dyDescent="0.25">
      <c r="A23" s="41" t="s">
        <v>22</v>
      </c>
      <c r="B23" s="31">
        <f>SUM('K '!N33,'1-3 '!K33,'4-6'!K33,'7-8 '!K33,'9-12 '!K33,'Special Ed (Simplified)'!K33,'Special Ed (Goal)'!$U$15,'Other Spec'!O33)</f>
        <v>23225644.618034638</v>
      </c>
      <c r="C23" s="31">
        <f>'Inst. Support '!M32</f>
        <v>2069852.420348075</v>
      </c>
      <c r="D23" s="31">
        <f>Health!G32</f>
        <v>630006.05682028527</v>
      </c>
      <c r="E23" s="31">
        <f>'Sch Admin'!H33</f>
        <v>3258135.4000401967</v>
      </c>
      <c r="F23" s="31">
        <f>'Mtrl &amp; Tech'!E31</f>
        <v>1083419.6399932681</v>
      </c>
      <c r="G23" s="31">
        <f t="shared" si="0"/>
        <v>30267058.135236464</v>
      </c>
      <c r="J23" s="292"/>
    </row>
    <row r="24" spans="1:10" x14ac:dyDescent="0.25">
      <c r="A24" s="41" t="s">
        <v>23</v>
      </c>
      <c r="B24" s="31">
        <f>SUM('K '!N34,'1-3 '!K34,'4-6'!K34,'7-8 '!K34,'9-12 '!K34,'Special Ed (Simplified)'!K34,'Special Ed (Goal)'!$U$15,'Other Spec'!O34)</f>
        <v>31275050.042863637</v>
      </c>
      <c r="C24" s="31">
        <f>'Inst. Support '!M33</f>
        <v>2786581.9875891106</v>
      </c>
      <c r="D24" s="31">
        <f>Health!G33</f>
        <v>848158.79274727462</v>
      </c>
      <c r="E24" s="31">
        <f>'Sch Admin'!H34</f>
        <v>4261978.1247244924</v>
      </c>
      <c r="F24" s="31">
        <f>'Mtrl &amp; Tech'!E32</f>
        <v>1417224.958020844</v>
      </c>
      <c r="G24" s="31">
        <f t="shared" si="0"/>
        <v>40588993.905945361</v>
      </c>
      <c r="J24" s="292"/>
    </row>
    <row r="25" spans="1:10" x14ac:dyDescent="0.25">
      <c r="A25" s="41" t="s">
        <v>24</v>
      </c>
      <c r="B25" s="31">
        <f>SUM('K '!N35,'1-3 '!K35,'4-6'!K35,'7-8 '!K35,'9-12 '!K35,'Special Ed (Simplified)'!K35,'Special Ed (Goal)'!$U$15,'Other Spec'!O35)</f>
        <v>3654889.4429758443</v>
      </c>
      <c r="C25" s="31">
        <f>'Inst. Support '!M34</f>
        <v>295857.40948066273</v>
      </c>
      <c r="D25" s="31">
        <f>Health!G34</f>
        <v>90050.845217569789</v>
      </c>
      <c r="E25" s="31">
        <f>'Sch Admin'!H35</f>
        <v>512860.68925397121</v>
      </c>
      <c r="F25" s="31">
        <f>'Mtrl &amp; Tech'!E33</f>
        <v>170540.28611314978</v>
      </c>
      <c r="G25" s="31">
        <f t="shared" si="0"/>
        <v>4724198.6730411975</v>
      </c>
      <c r="J25" s="292"/>
    </row>
    <row r="26" spans="1:10" x14ac:dyDescent="0.25">
      <c r="A26" s="41" t="s">
        <v>25</v>
      </c>
      <c r="B26" s="31">
        <f>SUM('K '!N36,'1-3 '!K36,'4-6'!K36,'7-8 '!K36,'9-12 '!K36,'Special Ed (Simplified)'!K36,'Special Ed (Goal)'!$U$15,'Other Spec'!O36)</f>
        <v>13728216.41867397</v>
      </c>
      <c r="C26" s="31">
        <f>'Inst. Support '!M35</f>
        <v>1146755.6465391102</v>
      </c>
      <c r="D26" s="31">
        <f>Health!G35</f>
        <v>349040.82818185131</v>
      </c>
      <c r="E26" s="31">
        <f>'Sch Admin'!H36</f>
        <v>1925972.7951786225</v>
      </c>
      <c r="F26" s="31">
        <f>'Mtrl &amp; Tech'!E34</f>
        <v>640438.9309184351</v>
      </c>
      <c r="G26" s="31">
        <f t="shared" si="0"/>
        <v>17790424.619491991</v>
      </c>
      <c r="J26" s="292"/>
    </row>
    <row r="27" spans="1:10" x14ac:dyDescent="0.25">
      <c r="A27" s="41" t="s">
        <v>26</v>
      </c>
      <c r="B27" s="31">
        <f>SUM('K '!N37,'1-3 '!K37,'4-6'!K37,'7-8 '!K37,'9-12 '!K37,'Special Ed (Simplified)'!K37,'Special Ed (Goal)'!$U$15,'Other Spec'!O37)</f>
        <v>5691315.0308793252</v>
      </c>
      <c r="C27" s="31">
        <f>'Inst. Support '!M36</f>
        <v>521973.431304186</v>
      </c>
      <c r="D27" s="31">
        <f>Health!G36</f>
        <v>158874.33325589658</v>
      </c>
      <c r="E27" s="31">
        <f>'Sch Admin'!H37</f>
        <v>795193.18028155365</v>
      </c>
      <c r="F27" s="31">
        <f>'Mtrl &amp; Tech'!E35</f>
        <v>264423.60532196233</v>
      </c>
      <c r="G27" s="31">
        <f t="shared" si="0"/>
        <v>7431779.581042923</v>
      </c>
      <c r="J27" s="292"/>
    </row>
    <row r="28" spans="1:10" x14ac:dyDescent="0.25">
      <c r="A28" s="41" t="s">
        <v>27</v>
      </c>
      <c r="B28" s="31">
        <f>SUM('K '!N38,'1-3 '!K38,'4-6'!K38,'7-8 '!K38,'9-12 '!K38,'Special Ed (Simplified)'!K38,'Special Ed (Goal)'!$U$15,'Other Spec'!O38)</f>
        <v>25904784.416901022</v>
      </c>
      <c r="C28" s="31">
        <f>'Inst. Support '!M37</f>
        <v>2192110.1640518247</v>
      </c>
      <c r="D28" s="31">
        <f>Health!G37</f>
        <v>667217.94606869447</v>
      </c>
      <c r="E28" s="31">
        <f>'Sch Admin'!H38</f>
        <v>3583113.7315741428</v>
      </c>
      <c r="F28" s="31">
        <f>'Mtrl &amp; Tech'!E36</f>
        <v>1191483.8742027415</v>
      </c>
      <c r="G28" s="31">
        <f t="shared" si="0"/>
        <v>33538710.132798426</v>
      </c>
      <c r="J28" s="292"/>
    </row>
    <row r="29" spans="1:10" x14ac:dyDescent="0.25">
      <c r="A29" s="41" t="s">
        <v>28</v>
      </c>
      <c r="B29" s="31">
        <f>SUM('K '!N39,'1-3 '!K39,'4-6'!K39,'7-8 '!K39,'9-12 '!K39,'Special Ed (Simplified)'!K39,'Special Ed (Goal)'!$U$15,'Other Spec'!O39)</f>
        <v>45152062.122178257</v>
      </c>
      <c r="C29" s="31">
        <f>'Inst. Support '!M38</f>
        <v>4000867.5876013194</v>
      </c>
      <c r="D29" s="31">
        <f>Health!G38</f>
        <v>1217753.8784629505</v>
      </c>
      <c r="E29" s="31">
        <f>'Sch Admin'!H39</f>
        <v>6321010.3599404842</v>
      </c>
      <c r="F29" s="31">
        <f>'Mtrl &amp; Tech'!E37</f>
        <v>2101909.812733979</v>
      </c>
      <c r="G29" s="31">
        <f t="shared" si="0"/>
        <v>58793603.760916986</v>
      </c>
      <c r="J29" s="292"/>
    </row>
    <row r="30" spans="1:10" x14ac:dyDescent="0.25">
      <c r="A30" s="41" t="s">
        <v>29</v>
      </c>
      <c r="B30" s="31">
        <f>SUM('K '!N40,'1-3 '!K40,'4-6'!K40,'7-8 '!K40,'9-12 '!K40,'Special Ed (Simplified)'!K40,'Special Ed (Goal)'!$U$15,'Other Spec'!O40)</f>
        <v>7017842.3121485896</v>
      </c>
      <c r="C30" s="31">
        <f>'Inst. Support '!M39</f>
        <v>636372.46256860509</v>
      </c>
      <c r="D30" s="31">
        <f>Health!G39</f>
        <v>193694.24692821395</v>
      </c>
      <c r="E30" s="31">
        <f>'Sch Admin'!H40</f>
        <v>974135.6051879751</v>
      </c>
      <c r="F30" s="31">
        <f>'Mtrl &amp; Tech'!E38</f>
        <v>323926.88366000983</v>
      </c>
      <c r="G30" s="31">
        <f t="shared" si="0"/>
        <v>9145971.510493394</v>
      </c>
      <c r="J30" s="292"/>
    </row>
    <row r="31" spans="1:10" x14ac:dyDescent="0.25">
      <c r="A31" s="41" t="s">
        <v>30</v>
      </c>
      <c r="B31" s="31">
        <f>SUM('K '!N41,'1-3 '!K41,'4-6'!K41,'7-8 '!K41,'9-12 '!K41,'Special Ed (Simplified)'!K41,'Special Ed (Goal)'!$U$15,'Other Spec'!O41)</f>
        <v>18143184.663443424</v>
      </c>
      <c r="C31" s="31">
        <f>'Inst. Support '!M40</f>
        <v>1658446.5335864304</v>
      </c>
      <c r="D31" s="31">
        <f>Health!G40</f>
        <v>504785.43822769471</v>
      </c>
      <c r="E31" s="31">
        <f>'Sch Admin'!H41</f>
        <v>2560590.1808147309</v>
      </c>
      <c r="F31" s="31">
        <f>'Mtrl &amp; Tech'!E39</f>
        <v>851466.66766346397</v>
      </c>
      <c r="G31" s="31">
        <f t="shared" si="0"/>
        <v>23718473.483735744</v>
      </c>
      <c r="J31" s="292"/>
    </row>
    <row r="32" spans="1:10" x14ac:dyDescent="0.25">
      <c r="A32" s="41" t="s">
        <v>31</v>
      </c>
      <c r="B32" s="31">
        <f>SUM('K '!N42,'1-3 '!K42,'4-6'!K42,'7-8 '!K42,'9-12 '!K42,'Special Ed (Simplified)'!K42,'Special Ed (Goal)'!$U$15,'Other Spec'!O42)</f>
        <v>111346638.62848642</v>
      </c>
      <c r="C32" s="31">
        <f>'Inst. Support '!M41</f>
        <v>10595047.810289366</v>
      </c>
      <c r="D32" s="31">
        <f>Health!G41</f>
        <v>3224840.6829218837</v>
      </c>
      <c r="E32" s="31">
        <f>'Sch Admin'!H42</f>
        <v>15363105.205442224</v>
      </c>
      <c r="F32" s="31">
        <f>'Mtrl &amp; Tech'!E40</f>
        <v>5108655.0640754728</v>
      </c>
      <c r="G32" s="31">
        <f t="shared" si="0"/>
        <v>145638287.39121538</v>
      </c>
      <c r="J32" s="292"/>
    </row>
    <row r="33" spans="1:10" x14ac:dyDescent="0.25">
      <c r="A33" s="41" t="s">
        <v>32</v>
      </c>
      <c r="B33" s="31">
        <f>SUM('K '!N43,'1-3 '!K43,'4-6'!K43,'7-8 '!K43,'9-12 '!K43,'Special Ed (Simplified)'!K43,'Special Ed (Goal)'!$U$15,'Other Spec'!O43)</f>
        <v>10486217.029384084</v>
      </c>
      <c r="C33" s="31">
        <f>'Inst. Support '!M42</f>
        <v>893440.23364973371</v>
      </c>
      <c r="D33" s="31">
        <f>Health!G42</f>
        <v>271938.59478716261</v>
      </c>
      <c r="E33" s="31">
        <f>'Sch Admin'!H43</f>
        <v>1469326.9092962311</v>
      </c>
      <c r="F33" s="31">
        <f>'Mtrl &amp; Tech'!E41</f>
        <v>488591.61319155246</v>
      </c>
      <c r="G33" s="31">
        <f t="shared" si="0"/>
        <v>13609514.380308764</v>
      </c>
      <c r="J33" s="292"/>
    </row>
    <row r="34" spans="1:10" x14ac:dyDescent="0.25">
      <c r="A34" s="41" t="s">
        <v>33</v>
      </c>
      <c r="B34" s="31">
        <f>SUM('K '!N44,'1-3 '!K44,'4-6'!K44,'7-8 '!K44,'9-12 '!K44,'Special Ed (Simplified)'!K44,'Special Ed (Goal)'!$U$15,'Other Spec'!O44)</f>
        <v>14639297.591776164</v>
      </c>
      <c r="C34" s="31">
        <f>'Inst. Support '!M43</f>
        <v>1343031.8831862691</v>
      </c>
      <c r="D34" s="31">
        <f>Health!G43</f>
        <v>408781.90763369313</v>
      </c>
      <c r="E34" s="31">
        <f>'Sch Admin'!H44</f>
        <v>2022065.7500162609</v>
      </c>
      <c r="F34" s="31">
        <f>'Mtrl &amp; Tech'!E42</f>
        <v>672392.48157038132</v>
      </c>
      <c r="G34" s="31">
        <f t="shared" si="0"/>
        <v>19085569.61418277</v>
      </c>
      <c r="J34" s="292"/>
    </row>
    <row r="35" spans="1:10" x14ac:dyDescent="0.25">
      <c r="A35" s="41" t="s">
        <v>34</v>
      </c>
      <c r="B35" s="31">
        <f>SUM('K '!N45,'1-3 '!K45,'4-6'!K45,'7-8 '!K45,'9-12 '!K45,'Special Ed (Simplified)'!K45,'Special Ed (Goal)'!$U$15,'Other Spec'!O45)</f>
        <v>11661381.744970296</v>
      </c>
      <c r="C35" s="31">
        <f>'Inst. Support '!M44</f>
        <v>988406.96377906308</v>
      </c>
      <c r="D35" s="31">
        <f>Health!G44</f>
        <v>300843.85131160304</v>
      </c>
      <c r="E35" s="31">
        <f>'Sch Admin'!H45</f>
        <v>1625449.2750563771</v>
      </c>
      <c r="F35" s="31">
        <f>'Mtrl &amp; Tech'!E43</f>
        <v>540506.59416645847</v>
      </c>
      <c r="G35" s="31">
        <f t="shared" si="0"/>
        <v>15116588.429283798</v>
      </c>
      <c r="J35" s="292"/>
    </row>
    <row r="36" spans="1:10" x14ac:dyDescent="0.25">
      <c r="A36" s="41" t="s">
        <v>35</v>
      </c>
      <c r="B36" s="31">
        <f>SUM('K '!N46,'1-3 '!K46,'4-6'!K46,'7-8 '!K46,'9-12 '!K46,'Special Ed (Simplified)'!K46,'Special Ed (Goal)'!$U$15,'Other Spec'!O46)</f>
        <v>73165724.022200808</v>
      </c>
      <c r="C36" s="31">
        <f>'Inst. Support '!M45</f>
        <v>6524951.0881469855</v>
      </c>
      <c r="D36" s="31">
        <f>Health!G45</f>
        <v>1986015.3630167646</v>
      </c>
      <c r="E36" s="31">
        <f>'Sch Admin'!H46</f>
        <v>10180015.528297421</v>
      </c>
      <c r="F36" s="31">
        <f>'Mtrl &amp; Tech'!E44</f>
        <v>3385135.1784391152</v>
      </c>
      <c r="G36" s="31">
        <f t="shared" si="0"/>
        <v>95241841.180101097</v>
      </c>
      <c r="J36" s="292"/>
    </row>
    <row r="37" spans="1:10" x14ac:dyDescent="0.25">
      <c r="A37" s="41" t="s">
        <v>36</v>
      </c>
      <c r="B37" s="31">
        <f>SUM('K '!N47,'1-3 '!K47,'4-6'!K47,'7-8 '!K47,'9-12 '!K47,'Special Ed (Simplified)'!K47,'Special Ed (Goal)'!$U$15,'Other Spec'!O47)</f>
        <v>5336182.0977637088</v>
      </c>
      <c r="C37" s="31">
        <f>'Inst. Support '!M46</f>
        <v>454526.77102069324</v>
      </c>
      <c r="D37" s="31">
        <f>Health!G46</f>
        <v>138345.42787444187</v>
      </c>
      <c r="E37" s="31">
        <f>'Sch Admin'!H47</f>
        <v>729672.70926076965</v>
      </c>
      <c r="F37" s="31">
        <f>'Mtrl &amp; Tech'!E45</f>
        <v>242636.24647719137</v>
      </c>
      <c r="G37" s="31">
        <f t="shared" si="0"/>
        <v>6901363.2523968043</v>
      </c>
      <c r="J37" s="292"/>
    </row>
    <row r="38" spans="1:10" x14ac:dyDescent="0.25">
      <c r="A38" s="41" t="s">
        <v>37</v>
      </c>
      <c r="B38" s="31">
        <f>SUM('K '!N48,'1-3 '!K48,'4-6'!K48,'7-8 '!K48,'9-12 '!K48,'Special Ed (Simplified)'!K48,'Special Ed (Goal)'!$U$15,'Other Spec'!O48)</f>
        <v>16637789.976315891</v>
      </c>
      <c r="C38" s="31">
        <f>'Inst. Support '!M47</f>
        <v>1361452.1720676452</v>
      </c>
      <c r="D38" s="31">
        <f>Health!G47</f>
        <v>414388.53613027697</v>
      </c>
      <c r="E38" s="31">
        <f>'Sch Admin'!H48</f>
        <v>2306741.0182352155</v>
      </c>
      <c r="F38" s="31">
        <f>'Mtrl &amp; Tech'!E46</f>
        <v>767054.83863662288</v>
      </c>
      <c r="G38" s="31">
        <f t="shared" si="0"/>
        <v>21487426.541385647</v>
      </c>
      <c r="J38" s="292"/>
    </row>
    <row r="39" spans="1:10" x14ac:dyDescent="0.25">
      <c r="A39" s="41" t="s">
        <v>38</v>
      </c>
      <c r="B39" s="31">
        <f>SUM('K '!N49,'1-3 '!K49,'4-6'!K49,'7-8 '!K49,'9-12 '!K49,'Special Ed (Simplified)'!K49,'Special Ed (Goal)'!$U$15,'Other Spec'!O49)</f>
        <v>3373029.2474773335</v>
      </c>
      <c r="C39" s="31">
        <f>'Inst. Support '!M48</f>
        <v>273222.48520522064</v>
      </c>
      <c r="D39" s="31">
        <f>Health!G48</f>
        <v>83161.397811073577</v>
      </c>
      <c r="E39" s="31">
        <f>'Sch Admin'!H49</f>
        <v>472670.64400582865</v>
      </c>
      <c r="F39" s="31">
        <f>'Mtrl &amp; Tech'!E47</f>
        <v>157175.99058586181</v>
      </c>
      <c r="G39" s="31">
        <f t="shared" si="0"/>
        <v>4359259.7650853181</v>
      </c>
      <c r="J39" s="292"/>
    </row>
    <row r="40" spans="1:10" x14ac:dyDescent="0.25">
      <c r="A40" s="41" t="s">
        <v>39</v>
      </c>
      <c r="B40" s="31">
        <f>SUM('K '!N50,'1-3 '!K50,'4-6'!K50,'7-8 '!K50,'9-12 '!K50,'Special Ed (Simplified)'!K50,'Special Ed (Goal)'!$U$15,'Other Spec'!O50)</f>
        <v>5793145.4437520122</v>
      </c>
      <c r="C40" s="31">
        <f>'Inst. Support '!M49</f>
        <v>492208.60999846674</v>
      </c>
      <c r="D40" s="31">
        <f>Health!G49</f>
        <v>149814.74160654453</v>
      </c>
      <c r="E40" s="31">
        <f>'Sch Admin'!H50</f>
        <v>808085.1411509281</v>
      </c>
      <c r="F40" s="31">
        <f>'Mtrl &amp; Tech'!E48</f>
        <v>268710.53692208324</v>
      </c>
      <c r="G40" s="31">
        <f t="shared" si="0"/>
        <v>7511964.4734300347</v>
      </c>
      <c r="J40" s="292"/>
    </row>
    <row r="41" spans="1:10" x14ac:dyDescent="0.25">
      <c r="A41" s="41" t="s">
        <v>40</v>
      </c>
      <c r="B41" s="31">
        <f>SUM('K '!N51,'1-3 '!K51,'4-6'!K51,'7-8 '!K51,'9-12 '!K51,'Special Ed (Simplified)'!K51,'Special Ed (Goal)'!$U$15,'Other Spec'!O51)</f>
        <v>41791288.497076951</v>
      </c>
      <c r="C41" s="31">
        <f>'Inst. Support '!M50</f>
        <v>3718953.4580607084</v>
      </c>
      <c r="D41" s="31">
        <f>Health!G50</f>
        <v>1131946.9835520873</v>
      </c>
      <c r="E41" s="31">
        <f>'Sch Admin'!H51</f>
        <v>5813657.8705005972</v>
      </c>
      <c r="F41" s="31">
        <f>'Mtrl &amp; Tech'!E49</f>
        <v>1933201.1545695977</v>
      </c>
      <c r="G41" s="31">
        <f t="shared" si="0"/>
        <v>54389047.963759944</v>
      </c>
      <c r="J41" s="292"/>
    </row>
    <row r="42" spans="1:10" x14ac:dyDescent="0.25">
      <c r="A42" s="41" t="s">
        <v>41</v>
      </c>
      <c r="B42" s="31">
        <f>SUM('K '!N52,'1-3 '!K52,'4-6'!K52,'7-8 '!K52,'9-12 '!K52,'Special Ed (Simplified)'!K52,'Special Ed (Goal)'!$U$15,'Other Spec'!O52)</f>
        <v>337010781.70029336</v>
      </c>
      <c r="C42" s="31">
        <f>'Inst. Support '!M51</f>
        <v>30885806.039394259</v>
      </c>
      <c r="D42" s="31">
        <f>Health!G51</f>
        <v>9400788.5215907078</v>
      </c>
      <c r="E42" s="31">
        <f>'Sch Admin'!H52</f>
        <v>46491514.532233149</v>
      </c>
      <c r="F42" s="31">
        <f>'Mtrl &amp; Tech'!E50</f>
        <v>15459707.394797774</v>
      </c>
      <c r="G42" s="31">
        <f t="shared" si="0"/>
        <v>439248598.18830931</v>
      </c>
      <c r="J42" s="292"/>
    </row>
    <row r="43" spans="1:10" x14ac:dyDescent="0.25">
      <c r="A43" s="41" t="s">
        <v>42</v>
      </c>
      <c r="B43" s="31">
        <f>SUM('K '!N53,'1-3 '!K53,'4-6'!K53,'7-8 '!K53,'9-12 '!K53,'Special Ed (Simplified)'!K53,'Special Ed (Goal)'!$U$15,'Other Spec'!O53)</f>
        <v>39146932.656726345</v>
      </c>
      <c r="C43" s="31">
        <f>'Inst. Support '!M52</f>
        <v>3546220.0414556973</v>
      </c>
      <c r="D43" s="31">
        <f>Health!G52</f>
        <v>1079371.6899675725</v>
      </c>
      <c r="E43" s="31">
        <f>'Sch Admin'!H53</f>
        <v>5416039.7809481453</v>
      </c>
      <c r="F43" s="31">
        <f>'Mtrl &amp; Tech'!E51</f>
        <v>1800982.2027628636</v>
      </c>
      <c r="G43" s="31">
        <f t="shared" si="0"/>
        <v>50989546.371860631</v>
      </c>
      <c r="J43" s="292"/>
    </row>
    <row r="44" spans="1:10" x14ac:dyDescent="0.25">
      <c r="A44" s="41" t="s">
        <v>43</v>
      </c>
      <c r="B44" s="31">
        <f>SUM('K '!N54,'1-3 '!K54,'4-6'!K54,'7-8 '!K54,'9-12 '!K54,'Special Ed (Simplified)'!K54,'Special Ed (Goal)'!$U$15,'Other Spec'!O54)</f>
        <v>4359027.1028648037</v>
      </c>
      <c r="C44" s="31">
        <f>'Inst. Support '!M53</f>
        <v>374227.97158098803</v>
      </c>
      <c r="D44" s="31">
        <f>Health!G53</f>
        <v>113904.68538232529</v>
      </c>
      <c r="E44" s="31">
        <f>'Sch Admin'!H54</f>
        <v>601679.10157860944</v>
      </c>
      <c r="F44" s="31">
        <f>'Mtrl &amp; Tech'!E52</f>
        <v>200074.85128326085</v>
      </c>
      <c r="G44" s="31">
        <f t="shared" si="0"/>
        <v>5648913.7126899865</v>
      </c>
      <c r="J44" s="292"/>
    </row>
    <row r="45" spans="1:10" x14ac:dyDescent="0.25">
      <c r="A45" s="41" t="s">
        <v>44</v>
      </c>
      <c r="B45" s="31">
        <f>SUM('K '!N55,'1-3 '!K55,'4-6'!K55,'7-8 '!K55,'9-12 '!K55,'Special Ed (Simplified)'!K55,'Special Ed (Goal)'!$U$15,'Other Spec'!O55)</f>
        <v>6842209.5226804931</v>
      </c>
      <c r="C45" s="31">
        <f>'Inst. Support '!M54</f>
        <v>631495.64631717117</v>
      </c>
      <c r="D45" s="31">
        <f>Health!G54</f>
        <v>192209.87840696151</v>
      </c>
      <c r="E45" s="31">
        <f>'Sch Admin'!H55</f>
        <v>946212.52464712528</v>
      </c>
      <c r="F45" s="31">
        <f>'Mtrl &amp; Tech'!E53</f>
        <v>314641.69131757447</v>
      </c>
      <c r="G45" s="31">
        <f t="shared" si="0"/>
        <v>8926769.2633693255</v>
      </c>
      <c r="J45" s="292"/>
    </row>
    <row r="46" spans="1:10" x14ac:dyDescent="0.25">
      <c r="A46" s="41" t="s">
        <v>45</v>
      </c>
      <c r="B46" s="31">
        <f>SUM('K '!N56,'1-3 '!K56,'4-6'!K56,'7-8 '!K56,'9-12 '!K56,'Special Ed (Simplified)'!K56,'Special Ed (Goal)'!$U$15,'Other Spec'!O56)</f>
        <v>9577285.857877275</v>
      </c>
      <c r="C46" s="31">
        <f>'Inst. Support '!M55</f>
        <v>869435.13640527229</v>
      </c>
      <c r="D46" s="31">
        <f>Health!G55</f>
        <v>264632.104474183</v>
      </c>
      <c r="E46" s="31">
        <f>'Sch Admin'!H56</f>
        <v>1335479.6742020566</v>
      </c>
      <c r="F46" s="31">
        <f>'Mtrl &amp; Tech'!E54</f>
        <v>444083.7258710821</v>
      </c>
      <c r="G46" s="31">
        <f t="shared" si="0"/>
        <v>12490916.49882987</v>
      </c>
      <c r="J46" s="292"/>
    </row>
    <row r="47" spans="1:10" x14ac:dyDescent="0.25">
      <c r="A47" s="41" t="s">
        <v>46</v>
      </c>
      <c r="B47" s="31">
        <f>SUM('K '!N57,'1-3 '!K57,'4-6'!K57,'7-8 '!K57,'9-12 '!K57,'Special Ed (Simplified)'!K57,'Special Ed (Goal)'!$U$15,'Other Spec'!O57)</f>
        <v>3313963.3381908843</v>
      </c>
      <c r="C47" s="31">
        <f>'Inst. Support '!M56</f>
        <v>275742.10419080342</v>
      </c>
      <c r="D47" s="31">
        <f>Health!G56</f>
        <v>83928.300420260377</v>
      </c>
      <c r="E47" s="31">
        <f>'Sch Admin'!H57</f>
        <v>466783.27969726291</v>
      </c>
      <c r="F47" s="31">
        <f>'Mtrl &amp; Tech'!E55</f>
        <v>155218.28001323892</v>
      </c>
      <c r="G47" s="31">
        <f t="shared" si="0"/>
        <v>4295635.3025124501</v>
      </c>
      <c r="J47" s="292"/>
    </row>
    <row r="48" spans="1:10" x14ac:dyDescent="0.25">
      <c r="A48" s="41" t="s">
        <v>47</v>
      </c>
      <c r="B48" s="31">
        <f>SUM('K '!N58,'1-3 '!K58,'4-6'!K58,'7-8 '!K58,'9-12 '!K58,'Special Ed (Simplified)'!K58,'Special Ed (Goal)'!$U$15,'Other Spec'!O58)</f>
        <v>199262546.4745411</v>
      </c>
      <c r="C48" s="31">
        <f>'Inst. Support '!M57</f>
        <v>18128737.729798254</v>
      </c>
      <c r="D48" s="31">
        <f>Health!G57</f>
        <v>5517888.3576437226</v>
      </c>
      <c r="E48" s="31">
        <f>'Sch Admin'!H58</f>
        <v>27778851.742445823</v>
      </c>
      <c r="F48" s="31">
        <f>'Mtrl &amp; Tech'!E56</f>
        <v>9237232.2997551654</v>
      </c>
      <c r="G48" s="31">
        <f t="shared" si="0"/>
        <v>259925256.60418406</v>
      </c>
      <c r="J48" s="292"/>
    </row>
    <row r="49" spans="1:10" x14ac:dyDescent="0.25">
      <c r="A49" s="41" t="s">
        <v>48</v>
      </c>
      <c r="B49" s="31">
        <f>SUM('K '!N59,'1-3 '!K59,'4-6'!K59,'7-8 '!K59,'9-12 '!K59,'Special Ed (Simplified)'!K59,'Special Ed (Goal)'!$U$15,'Other Spec'!O59)</f>
        <v>11614079.866489215</v>
      </c>
      <c r="C49" s="31">
        <f>'Inst. Support '!M58</f>
        <v>1001517.3118230541</v>
      </c>
      <c r="D49" s="31">
        <f>Health!G58</f>
        <v>304834.28009461128</v>
      </c>
      <c r="E49" s="31">
        <f>'Sch Admin'!H59</f>
        <v>1583563.0408094598</v>
      </c>
      <c r="F49" s="31">
        <f>'Mtrl &amp; Tech'!E57</f>
        <v>526578.26914107462</v>
      </c>
      <c r="G49" s="31">
        <f t="shared" si="0"/>
        <v>15030572.768357413</v>
      </c>
      <c r="J49" s="292"/>
    </row>
    <row r="50" spans="1:10" x14ac:dyDescent="0.25">
      <c r="A50" s="41" t="s">
        <v>49</v>
      </c>
      <c r="B50" s="31">
        <f>SUM('K '!N60,'1-3 '!K60,'4-6'!K60,'7-8 '!K60,'9-12 '!K60,'Special Ed (Simplified)'!K60,'Special Ed (Goal)'!$U$15,'Other Spec'!O60)</f>
        <v>48034040.420026504</v>
      </c>
      <c r="C50" s="31">
        <f>'Inst. Support '!M59</f>
        <v>4383645.6050953669</v>
      </c>
      <c r="D50" s="31">
        <f>Health!G59</f>
        <v>1334260.9622860369</v>
      </c>
      <c r="E50" s="31">
        <f>'Sch Admin'!H60</f>
        <v>6624407.759104263</v>
      </c>
      <c r="F50" s="31">
        <f>'Mtrl &amp; Tech'!E58</f>
        <v>2202797.7933172472</v>
      </c>
      <c r="G50" s="31">
        <f t="shared" si="0"/>
        <v>62579152.539829418</v>
      </c>
      <c r="J50" s="292"/>
    </row>
    <row r="51" spans="1:10" x14ac:dyDescent="0.25">
      <c r="A51" s="41" t="s">
        <v>50</v>
      </c>
      <c r="B51" s="31">
        <f>SUM('K '!N61,'1-3 '!K61,'4-6'!K61,'7-8 '!K61,'9-12 '!K61,'Special Ed (Simplified)'!K61,'Special Ed (Goal)'!$U$15,'Other Spec'!O61)</f>
        <v>59656333.13670563</v>
      </c>
      <c r="C51" s="31">
        <f>'Inst. Support '!M60</f>
        <v>5521680.4546827246</v>
      </c>
      <c r="D51" s="31">
        <f>Health!G60</f>
        <v>1680647.4201147689</v>
      </c>
      <c r="E51" s="31">
        <f>'Sch Admin'!H61</f>
        <v>8278504.8672503605</v>
      </c>
      <c r="F51" s="31">
        <f>'Mtrl &amp; Tech'!E59</f>
        <v>2752830.5799839529</v>
      </c>
      <c r="G51" s="31">
        <f t="shared" si="0"/>
        <v>77889996.458737433</v>
      </c>
      <c r="J51" s="292"/>
    </row>
    <row r="52" spans="1:10" x14ac:dyDescent="0.25">
      <c r="A52" s="41" t="s">
        <v>51</v>
      </c>
      <c r="B52" s="31">
        <f>SUM('K '!N62,'1-3 '!K62,'4-6'!K62,'7-8 '!K62,'9-12 '!K62,'Special Ed (Simplified)'!K62,'Special Ed (Goal)'!$U$15,'Other Spec'!O62)</f>
        <v>25950675.777925126</v>
      </c>
      <c r="C52" s="31">
        <f>'Inst. Support '!M61</f>
        <v>2243985.1625384679</v>
      </c>
      <c r="D52" s="31">
        <f>Health!G61</f>
        <v>683007.26656461286</v>
      </c>
      <c r="E52" s="31">
        <f>'Sch Admin'!H62</f>
        <v>3564079.1523764078</v>
      </c>
      <c r="F52" s="31">
        <f>'Mtrl &amp; Tech'!E60</f>
        <v>1185154.3530473043</v>
      </c>
      <c r="G52" s="31">
        <f t="shared" si="0"/>
        <v>33626901.71245192</v>
      </c>
      <c r="J52" s="292"/>
    </row>
    <row r="53" spans="1:10" x14ac:dyDescent="0.25">
      <c r="A53" s="41" t="s">
        <v>52</v>
      </c>
      <c r="B53" s="31">
        <f>SUM('K '!N63,'1-3 '!K63,'4-6'!K63,'7-8 '!K63,'9-12 '!K63,'Special Ed (Simplified)'!K63,'Special Ed (Goal)'!$U$15,'Other Spec'!O63)</f>
        <v>14735992.678747948</v>
      </c>
      <c r="C53" s="31">
        <f>'Inst. Support '!M62</f>
        <v>1240868.6214749776</v>
      </c>
      <c r="D53" s="31">
        <f>Health!G62</f>
        <v>377686.22514450108</v>
      </c>
      <c r="E53" s="31">
        <f>'Sch Admin'!H63</f>
        <v>2054154.7227620245</v>
      </c>
      <c r="F53" s="31">
        <f>'Mtrl &amp; Tech'!E61</f>
        <v>683062.94765952544</v>
      </c>
      <c r="G53" s="31">
        <f t="shared" si="0"/>
        <v>19091765.19578898</v>
      </c>
      <c r="J53" s="292"/>
    </row>
    <row r="54" spans="1:10" x14ac:dyDescent="0.25">
      <c r="A54" s="41" t="s">
        <v>53</v>
      </c>
      <c r="B54" s="31">
        <f>SUM('K '!N64,'1-3 '!K64,'4-6'!K64,'7-8 '!K64,'9-12 '!K64,'Special Ed (Simplified)'!K64,'Special Ed (Goal)'!$U$15,'Other Spec'!O64)</f>
        <v>8413176.025249606</v>
      </c>
      <c r="C54" s="31">
        <f>'Inst. Support '!M63</f>
        <v>720423.62020006229</v>
      </c>
      <c r="D54" s="31">
        <f>Health!G63</f>
        <v>219277.1038845905</v>
      </c>
      <c r="E54" s="31">
        <f>'Sch Admin'!H64</f>
        <v>1167473.1696147965</v>
      </c>
      <c r="F54" s="31">
        <f>'Mtrl &amp; Tech'!E62</f>
        <v>388216.94184663339</v>
      </c>
      <c r="G54" s="31">
        <f t="shared" si="0"/>
        <v>10908566.86079569</v>
      </c>
      <c r="J54" s="292"/>
    </row>
    <row r="55" spans="1:10" x14ac:dyDescent="0.25">
      <c r="A55" s="41" t="s">
        <v>54</v>
      </c>
      <c r="B55" s="31">
        <f>SUM('K '!N65,'1-3 '!K65,'4-6'!K65,'7-8 '!K65,'9-12 '!K65,'Special Ed (Simplified)'!K65,'Special Ed (Goal)'!$U$15,'Other Spec'!O65)</f>
        <v>114280199.01303308</v>
      </c>
      <c r="C55" s="31">
        <f>'Inst. Support '!M64</f>
        <v>10827635.712945279</v>
      </c>
      <c r="D55" s="31">
        <f>Health!G64</f>
        <v>3295634.0331993448</v>
      </c>
      <c r="E55" s="31">
        <f>'Sch Admin'!H65</f>
        <v>15641707.307988279</v>
      </c>
      <c r="F55" s="31">
        <f>'Mtrl &amp; Tech'!E63</f>
        <v>5201297.9265047293</v>
      </c>
      <c r="G55" s="31">
        <f t="shared" si="0"/>
        <v>149246473.9936707</v>
      </c>
      <c r="J55" s="292"/>
    </row>
    <row r="56" spans="1:10" x14ac:dyDescent="0.25">
      <c r="A56" s="41" t="s">
        <v>55</v>
      </c>
      <c r="B56" s="31">
        <f>SUM('K '!N66,'1-3 '!K66,'4-6'!K66,'7-8 '!K66,'9-12 '!K66,'Special Ed (Simplified)'!K66,'Special Ed (Goal)'!$U$15,'Other Spec'!O66)</f>
        <v>41755183.332148507</v>
      </c>
      <c r="C56" s="31">
        <f>'Inst. Support '!M65</f>
        <v>3595167.2843276877</v>
      </c>
      <c r="D56" s="31">
        <f>Health!G65</f>
        <v>1094269.882307692</v>
      </c>
      <c r="E56" s="31">
        <f>'Sch Admin'!H66</f>
        <v>5735775.687213717</v>
      </c>
      <c r="F56" s="31">
        <f>'Mtrl &amp; Tech'!E64</f>
        <v>1907303.1863705104</v>
      </c>
      <c r="G56" s="31">
        <f t="shared" si="0"/>
        <v>54087699.372368112</v>
      </c>
      <c r="J56" s="292"/>
    </row>
    <row r="57" spans="1:10" x14ac:dyDescent="0.25">
      <c r="A57" s="41" t="s">
        <v>56</v>
      </c>
      <c r="B57" s="31">
        <f>SUM('K '!N67,'1-3 '!K67,'4-6'!K67,'7-8 '!K67,'9-12 '!K67,'Special Ed (Simplified)'!K67,'Special Ed (Goal)'!$U$15,'Other Spec'!O67)</f>
        <v>9350909.775861498</v>
      </c>
      <c r="C57" s="31">
        <f>'Inst. Support '!M66</f>
        <v>807602.43710122665</v>
      </c>
      <c r="D57" s="31">
        <f>Health!G66</f>
        <v>245811.93416245357</v>
      </c>
      <c r="E57" s="31">
        <f>'Sch Admin'!H67</f>
        <v>1289356.3187474674</v>
      </c>
      <c r="F57" s="31">
        <f>'Mtrl &amp; Tech'!E65</f>
        <v>428746.44149632094</v>
      </c>
      <c r="G57" s="31">
        <f t="shared" si="0"/>
        <v>12122426.907368965</v>
      </c>
      <c r="J57" s="292"/>
    </row>
    <row r="58" spans="1:10" x14ac:dyDescent="0.25">
      <c r="A58" s="41" t="s">
        <v>57</v>
      </c>
      <c r="B58" s="31">
        <f>SUM('K '!N68,'1-3 '!K68,'4-6'!K68,'7-8 '!K68,'9-12 '!K68,'Special Ed (Simplified)'!K68,'Special Ed (Goal)'!$U$15,'Other Spec'!O68)</f>
        <v>15779838.712864041</v>
      </c>
      <c r="C58" s="31">
        <f>'Inst. Support '!M67</f>
        <v>1301089.5975601464</v>
      </c>
      <c r="D58" s="31">
        <f>Health!G67</f>
        <v>396015.8313078747</v>
      </c>
      <c r="E58" s="31">
        <f>'Sch Admin'!H68</f>
        <v>2162420.8146435046</v>
      </c>
      <c r="F58" s="31">
        <f>'Mtrl &amp; Tech'!E66</f>
        <v>719064.40121736831</v>
      </c>
      <c r="G58" s="31">
        <f t="shared" si="0"/>
        <v>20358429.357592933</v>
      </c>
      <c r="J58" s="292"/>
    </row>
    <row r="59" spans="1:10" x14ac:dyDescent="0.25">
      <c r="A59" s="41" t="s">
        <v>58</v>
      </c>
      <c r="B59" s="31">
        <f>SUM('K '!N69,'1-3 '!K69,'4-6'!K69,'7-8 '!K69,'9-12 '!K69,'Special Ed (Simplified)'!K69,'Special Ed (Goal)'!$U$15,'Other Spec'!O69)</f>
        <v>73955189.13742654</v>
      </c>
      <c r="C59" s="31">
        <f>'Inst. Support '!M68</f>
        <v>7037966.3369090408</v>
      </c>
      <c r="D59" s="31">
        <f>Health!G68</f>
        <v>2142163.072285288</v>
      </c>
      <c r="E59" s="31">
        <f>'Sch Admin'!H69</f>
        <v>10163542.852890063</v>
      </c>
      <c r="F59" s="31">
        <f>'Mtrl &amp; Tech'!E67</f>
        <v>3379657.5607626541</v>
      </c>
      <c r="G59" s="31">
        <f t="shared" si="0"/>
        <v>96678518.960273594</v>
      </c>
      <c r="J59" s="292"/>
    </row>
    <row r="60" spans="1:10" x14ac:dyDescent="0.25">
      <c r="A60" s="41" t="s">
        <v>59</v>
      </c>
      <c r="B60" s="31">
        <f>SUM('K '!N70,'1-3 '!K70,'4-6'!K70,'7-8 '!K70,'9-12 '!K70,'Special Ed (Simplified)'!K70,'Special Ed (Goal)'!$U$15,'Other Spec'!O70)</f>
        <v>20735729.90795292</v>
      </c>
      <c r="C60" s="31">
        <f>'Inst. Support '!M69</f>
        <v>1762009.1208831032</v>
      </c>
      <c r="D60" s="31">
        <f>Health!G69</f>
        <v>536307.03687669954</v>
      </c>
      <c r="E60" s="31">
        <f>'Sch Admin'!H70</f>
        <v>2943459.4073378989</v>
      </c>
      <c r="F60" s="31">
        <f>'Mtrl &amp; Tech'!E68</f>
        <v>978781.21682526777</v>
      </c>
      <c r="G60" s="31">
        <f t="shared" si="0"/>
        <v>26956286.689875893</v>
      </c>
      <c r="J60" s="292"/>
    </row>
    <row r="61" spans="1:10" x14ac:dyDescent="0.25">
      <c r="A61" s="41" t="s">
        <v>60</v>
      </c>
      <c r="B61" s="31">
        <f>SUM('K '!N71,'1-3 '!K71,'4-6'!K71,'7-8 '!K71,'9-12 '!K71,'Special Ed (Simplified)'!K71,'Special Ed (Goal)'!$U$15,'Other Spec'!O71)</f>
        <v>17721257.501545381</v>
      </c>
      <c r="C61" s="31">
        <f>'Inst. Support '!M70</f>
        <v>1534414.6449440727</v>
      </c>
      <c r="D61" s="31">
        <f>Health!G70</f>
        <v>467033.54813380865</v>
      </c>
      <c r="E61" s="31">
        <f>'Sch Admin'!H71</f>
        <v>2483425.0855468311</v>
      </c>
      <c r="F61" s="31">
        <f>'Mtrl &amp; Tech'!E69</f>
        <v>825807.15095517645</v>
      </c>
      <c r="G61" s="31">
        <f t="shared" si="0"/>
        <v>23031937.931125272</v>
      </c>
      <c r="J61" s="292"/>
    </row>
    <row r="62" spans="1:10" x14ac:dyDescent="0.25">
      <c r="A62" s="41" t="s">
        <v>61</v>
      </c>
      <c r="B62" s="31">
        <f>SUM('K '!N72,'1-3 '!K72,'4-6'!K72,'7-8 '!K72,'9-12 '!K72,'Special Ed (Simplified)'!K72,'Special Ed (Goal)'!$U$15,'Other Spec'!O72)</f>
        <v>3266220.3021274144</v>
      </c>
      <c r="C62" s="31">
        <f>'Inst. Support '!M71</f>
        <v>277303.85149591672</v>
      </c>
      <c r="D62" s="31">
        <f>Health!G71</f>
        <v>84403.653277194331</v>
      </c>
      <c r="E62" s="31">
        <f>'Sch Admin'!H72</f>
        <v>457098.3931693749</v>
      </c>
      <c r="F62" s="31">
        <f>'Mtrl &amp; Tech'!E70</f>
        <v>151997.78884663776</v>
      </c>
      <c r="G62" s="31">
        <f t="shared" si="0"/>
        <v>4237023.9889165387</v>
      </c>
      <c r="J62" s="292"/>
    </row>
    <row r="63" spans="1:10" x14ac:dyDescent="0.25">
      <c r="A63" s="41" t="s">
        <v>62</v>
      </c>
      <c r="B63" s="31">
        <f>SUM('K '!N73,'1-3 '!K73,'4-6'!K73,'7-8 '!K73,'9-12 '!K73,'Special Ed (Simplified)'!K73,'Special Ed (Goal)'!$U$15,'Other Spec'!O73)</f>
        <v>27289634.819957498</v>
      </c>
      <c r="C63" s="31">
        <f>'Inst. Support '!M72</f>
        <v>2395270.5828199224</v>
      </c>
      <c r="D63" s="31">
        <f>Health!G72</f>
        <v>729054.38091390114</v>
      </c>
      <c r="E63" s="31">
        <f>'Sch Admin'!H73</f>
        <v>3736546.5344304135</v>
      </c>
      <c r="F63" s="31">
        <f>'Mtrl &amp; Tech'!E71</f>
        <v>1242504.5015319949</v>
      </c>
      <c r="G63" s="31">
        <f t="shared" si="0"/>
        <v>35393010.819653735</v>
      </c>
      <c r="J63" s="292"/>
    </row>
    <row r="64" spans="1:10" x14ac:dyDescent="0.25">
      <c r="A64" s="41" t="s">
        <v>63</v>
      </c>
      <c r="B64" s="31">
        <f>SUM('K '!N74,'1-3 '!K74,'4-6'!K74,'7-8 '!K74,'9-12 '!K74,'Special Ed (Simplified)'!K74,'Special Ed (Goal)'!$U$15,'Other Spec'!O74)</f>
        <v>47885162.194194168</v>
      </c>
      <c r="C64" s="31">
        <f>'Inst. Support '!M73</f>
        <v>4206097.8421311267</v>
      </c>
      <c r="D64" s="31">
        <f>Health!G73</f>
        <v>1280220.3142945471</v>
      </c>
      <c r="E64" s="31">
        <f>'Sch Admin'!H74</f>
        <v>6704427.7878681663</v>
      </c>
      <c r="F64" s="31">
        <f>'Mtrl &amp; Tech'!E72</f>
        <v>2229406.6539418148</v>
      </c>
      <c r="G64" s="31">
        <f t="shared" si="0"/>
        <v>62305314.79242982</v>
      </c>
      <c r="J64" s="292"/>
    </row>
    <row r="65" spans="1:10" x14ac:dyDescent="0.25">
      <c r="A65" s="41" t="s">
        <v>64</v>
      </c>
      <c r="B65" s="31">
        <f>SUM('K '!N75,'1-3 '!K75,'4-6'!K75,'7-8 '!K75,'9-12 '!K75,'Special Ed (Simplified)'!K75,'Special Ed (Goal)'!$U$15,'Other Spec'!O75)</f>
        <v>12149010.572573967</v>
      </c>
      <c r="C65" s="31">
        <f>'Inst. Support '!M74</f>
        <v>1034189.0654460243</v>
      </c>
      <c r="D65" s="31">
        <f>Health!G74</f>
        <v>314778.6618616698</v>
      </c>
      <c r="E65" s="31">
        <f>'Sch Admin'!H75</f>
        <v>1690639.2444733267</v>
      </c>
      <c r="F65" s="31">
        <f>'Mtrl &amp; Tech'!E73</f>
        <v>562184.05213705497</v>
      </c>
      <c r="G65" s="31">
        <f t="shared" si="0"/>
        <v>15750801.596492043</v>
      </c>
      <c r="J65" s="292"/>
    </row>
    <row r="66" spans="1:10" x14ac:dyDescent="0.25">
      <c r="A66" s="41" t="s">
        <v>65</v>
      </c>
      <c r="B66" s="31">
        <f>SUM('K '!N76,'1-3 '!K76,'4-6'!K76,'7-8 '!K76,'9-12 '!K76,'Special Ed (Simplified)'!K76,'Special Ed (Goal)'!$U$15,'Other Spec'!O76)</f>
        <v>15809397.316581976</v>
      </c>
      <c r="C66" s="31">
        <f>'Inst. Support '!M75</f>
        <v>1411902.8570120251</v>
      </c>
      <c r="D66" s="31">
        <f>Health!G75</f>
        <v>429744.33482067165</v>
      </c>
      <c r="E66" s="31">
        <f>'Sch Admin'!H76</f>
        <v>2208883.0973922564</v>
      </c>
      <c r="F66" s="31">
        <f>'Mtrl &amp; Tech'!E74</f>
        <v>734514.38824009837</v>
      </c>
      <c r="G66" s="31">
        <f t="shared" si="0"/>
        <v>20594441.994047031</v>
      </c>
      <c r="J66" s="292"/>
    </row>
    <row r="67" spans="1:10" x14ac:dyDescent="0.25">
      <c r="A67" s="41" t="s">
        <v>66</v>
      </c>
      <c r="B67" s="31">
        <f>SUM('K '!N77,'1-3 '!K77,'4-6'!K77,'7-8 '!K77,'9-12 '!K77,'Special Ed (Simplified)'!K77,'Special Ed (Goal)'!$U$15,'Other Spec'!O77)</f>
        <v>28937558.907495331</v>
      </c>
      <c r="C67" s="31">
        <f>'Inst. Support '!M76</f>
        <v>2548246.8548503798</v>
      </c>
      <c r="D67" s="31">
        <f>Health!G76</f>
        <v>775616.14395629638</v>
      </c>
      <c r="E67" s="31">
        <f>'Sch Admin'!H77</f>
        <v>4063890.4715234023</v>
      </c>
      <c r="F67" s="31">
        <f>'Mtrl &amp; Tech'!E75</f>
        <v>1351355.3646590738</v>
      </c>
      <c r="G67" s="31">
        <f t="shared" si="0"/>
        <v>37676667.74248448</v>
      </c>
      <c r="J67" s="292"/>
    </row>
    <row r="68" spans="1:10" x14ac:dyDescent="0.25">
      <c r="A68" s="41" t="s">
        <v>67</v>
      </c>
      <c r="B68" s="31">
        <f>SUM('K '!N78,'1-3 '!K78,'4-6'!K78,'7-8 '!K78,'9-12 '!K78,'Special Ed (Simplified)'!K78,'Special Ed (Goal)'!$U$15,'Other Spec'!O78)</f>
        <v>70493961.361964613</v>
      </c>
      <c r="C68" s="31">
        <f>'Inst. Support '!M77</f>
        <v>6504435.9755470185</v>
      </c>
      <c r="D68" s="31">
        <f>Health!G77</f>
        <v>1979771.1278880802</v>
      </c>
      <c r="E68" s="31">
        <f>'Sch Admin'!H78</f>
        <v>9755777.3501985129</v>
      </c>
      <c r="F68" s="31">
        <f>'Mtrl &amp; Tech'!E76</f>
        <v>3244064.3149686628</v>
      </c>
      <c r="G68" s="31">
        <f t="shared" si="0"/>
        <v>91978010.13056688</v>
      </c>
      <c r="J68" s="292"/>
    </row>
    <row r="69" spans="1:10" x14ac:dyDescent="0.25">
      <c r="A69" s="41" t="s">
        <v>68</v>
      </c>
      <c r="B69" s="31">
        <f>SUM('K '!N79,'1-3 '!K79,'4-6'!K79,'7-8 '!K79,'9-12 '!K79,'Special Ed (Simplified)'!K79,'Special Ed (Goal)'!$U$15,'Other Spec'!O79)</f>
        <v>106755598.47188418</v>
      </c>
      <c r="C69" s="31">
        <f>'Inst. Support '!M78</f>
        <v>9371358.4091706369</v>
      </c>
      <c r="D69" s="31">
        <f>Health!G78</f>
        <v>2852383.3392036562</v>
      </c>
      <c r="E69" s="31">
        <f>'Sch Admin'!H79</f>
        <v>14764940.751179561</v>
      </c>
      <c r="F69" s="31">
        <f>'Mtrl &amp; Tech'!E77</f>
        <v>4909748.9296999564</v>
      </c>
      <c r="G69" s="31">
        <f t="shared" si="0"/>
        <v>138654029.90113798</v>
      </c>
      <c r="J69" s="292"/>
    </row>
    <row r="70" spans="1:10" x14ac:dyDescent="0.25">
      <c r="A70" s="41" t="s">
        <v>69</v>
      </c>
      <c r="B70" s="31">
        <f>SUM('K '!N80,'1-3 '!K80,'4-6'!K80,'7-8 '!K80,'9-12 '!K80,'Special Ed (Simplified)'!K80,'Special Ed (Goal)'!$U$15,'Other Spec'!O80)</f>
        <v>122435317.18328913</v>
      </c>
      <c r="C70" s="31">
        <f>'Inst. Support '!M79</f>
        <v>11488867.027951807</v>
      </c>
      <c r="D70" s="31">
        <f>Health!G79</f>
        <v>3496894.6300023296</v>
      </c>
      <c r="E70" s="31">
        <f>'Sch Admin'!H80</f>
        <v>16997686.693539642</v>
      </c>
      <c r="F70" s="31">
        <f>'Mtrl &amp; Tech'!E78</f>
        <v>5652198.3702721139</v>
      </c>
      <c r="G70" s="31">
        <f t="shared" ref="G70:G85" si="1">SUM(B70:F70)</f>
        <v>160070963.90505502</v>
      </c>
      <c r="J70" s="292"/>
    </row>
    <row r="71" spans="1:10" x14ac:dyDescent="0.25">
      <c r="A71" s="41" t="s">
        <v>70</v>
      </c>
      <c r="B71" s="31">
        <f>SUM('K '!N81,'1-3 '!K81,'4-6'!K81,'7-8 '!K81,'9-12 '!K81,'Special Ed (Simplified)'!K81,'Special Ed (Goal)'!$U$15,'Other Spec'!O81)</f>
        <v>10941955.660940774</v>
      </c>
      <c r="C71" s="31">
        <f>'Inst. Support '!M80</f>
        <v>915108.95692574582</v>
      </c>
      <c r="D71" s="31">
        <f>Health!G80</f>
        <v>278533.95722616906</v>
      </c>
      <c r="E71" s="31">
        <f>'Sch Admin'!H81</f>
        <v>1485922.238582439</v>
      </c>
      <c r="F71" s="31">
        <f>'Mtrl &amp; Tech'!E79</f>
        <v>494110.01665649487</v>
      </c>
      <c r="G71" s="31">
        <f t="shared" si="1"/>
        <v>14115630.830331624</v>
      </c>
      <c r="J71" s="292"/>
    </row>
    <row r="72" spans="1:10" x14ac:dyDescent="0.25">
      <c r="A72" s="41" t="s">
        <v>71</v>
      </c>
      <c r="B72" s="31">
        <f>SUM('K '!N82,'1-3 '!K82,'4-6'!K82,'7-8 '!K82,'9-12 '!K82,'Special Ed (Simplified)'!K82,'Special Ed (Goal)'!$U$15,'Other Spec'!O82)</f>
        <v>21842900.28226928</v>
      </c>
      <c r="C72" s="31">
        <f>'Inst. Support '!M81</f>
        <v>2042682.1818985844</v>
      </c>
      <c r="D72" s="31">
        <f>Health!G81</f>
        <v>621736.18471725285</v>
      </c>
      <c r="E72" s="31">
        <f>'Sch Admin'!H82</f>
        <v>3002010.1463505072</v>
      </c>
      <c r="F72" s="31">
        <f>'Mtrl &amp; Tech'!E80</f>
        <v>998250.9480652886</v>
      </c>
      <c r="G72" s="31">
        <f t="shared" si="1"/>
        <v>28507579.743300911</v>
      </c>
      <c r="J72" s="292"/>
    </row>
    <row r="73" spans="1:10" x14ac:dyDescent="0.25">
      <c r="A73" s="41" t="s">
        <v>72</v>
      </c>
      <c r="B73" s="31">
        <f>SUM('K '!N83,'1-3 '!K83,'4-6'!K83,'7-8 '!K83,'9-12 '!K83,'Special Ed (Simplified)'!K83,'Special Ed (Goal)'!$U$15,'Other Spec'!O83)</f>
        <v>44530234.32908342</v>
      </c>
      <c r="C73" s="31">
        <f>'Inst. Support '!M82</f>
        <v>4131821.1402999386</v>
      </c>
      <c r="D73" s="31">
        <f>Health!G82</f>
        <v>1257612.5324187677</v>
      </c>
      <c r="E73" s="31">
        <f>'Sch Admin'!H83</f>
        <v>6185828.6864373051</v>
      </c>
      <c r="F73" s="31">
        <f>'Mtrl &amp; Tech'!E81</f>
        <v>2056958.187936957</v>
      </c>
      <c r="G73" s="31">
        <f t="shared" si="1"/>
        <v>58162454.87617638</v>
      </c>
      <c r="J73" s="292"/>
    </row>
    <row r="74" spans="1:10" x14ac:dyDescent="0.25">
      <c r="A74" s="41" t="s">
        <v>73</v>
      </c>
      <c r="B74" s="31">
        <f>SUM('K '!N84,'1-3 '!K84,'4-6'!K84,'7-8 '!K84,'9-12 '!K84,'Special Ed (Simplified)'!K84,'Special Ed (Goal)'!$U$15,'Other Spec'!O84)</f>
        <v>13025474.152757356</v>
      </c>
      <c r="C74" s="31">
        <f>'Inst. Support '!M83</f>
        <v>1139933.9343103752</v>
      </c>
      <c r="D74" s="31">
        <f>Health!G83</f>
        <v>346964.48690276372</v>
      </c>
      <c r="E74" s="31">
        <f>'Sch Admin'!H84</f>
        <v>1804317.7591232881</v>
      </c>
      <c r="F74" s="31">
        <f>'Mtrl &amp; Tech'!E82</f>
        <v>599985.28514152463</v>
      </c>
      <c r="G74" s="31">
        <f t="shared" si="1"/>
        <v>16916675.618235309</v>
      </c>
      <c r="J74" s="292"/>
    </row>
    <row r="75" spans="1:10" x14ac:dyDescent="0.25">
      <c r="A75" s="41" t="s">
        <v>74</v>
      </c>
      <c r="B75" s="31">
        <f>SUM('K '!N85,'1-3 '!K85,'4-6'!K85,'7-8 '!K85,'9-12 '!K85,'Special Ed (Simplified)'!K85,'Special Ed (Goal)'!$U$15,'Other Spec'!O85)</f>
        <v>12445303.403312111</v>
      </c>
      <c r="C75" s="31">
        <f>'Inst. Support '!M84</f>
        <v>1111726.6956502891</v>
      </c>
      <c r="D75" s="31">
        <f>Health!G84</f>
        <v>338378.98050272709</v>
      </c>
      <c r="E75" s="31">
        <f>'Sch Admin'!H85</f>
        <v>1727659.3302316498</v>
      </c>
      <c r="F75" s="31">
        <f>'Mtrl &amp; Tech'!E83</f>
        <v>574494.24893989728</v>
      </c>
      <c r="G75" s="31">
        <f t="shared" si="1"/>
        <v>16197562.658636674</v>
      </c>
      <c r="J75" s="292"/>
    </row>
    <row r="76" spans="1:10" x14ac:dyDescent="0.25">
      <c r="A76" s="41" t="s">
        <v>75</v>
      </c>
      <c r="B76" s="31">
        <f>SUM('K '!N86,'1-3 '!K86,'4-6'!K86,'7-8 '!K86,'9-12 '!K86,'Special Ed (Simplified)'!K86,'Special Ed (Goal)'!$U$15,'Other Spec'!O86)</f>
        <v>37957768.562827796</v>
      </c>
      <c r="C76" s="31">
        <f>'Inst. Support '!M85</f>
        <v>3553891.3442184138</v>
      </c>
      <c r="D76" s="31">
        <f>Health!G85</f>
        <v>1081706.6232008322</v>
      </c>
      <c r="E76" s="31">
        <f>'Sch Admin'!H86</f>
        <v>5308809.1140720323</v>
      </c>
      <c r="F76" s="31">
        <f>'Mtrl &amp; Tech'!E84</f>
        <v>1765325.0565000894</v>
      </c>
      <c r="G76" s="31">
        <f t="shared" si="1"/>
        <v>49667500.700819165</v>
      </c>
      <c r="J76" s="292"/>
    </row>
    <row r="77" spans="1:10" x14ac:dyDescent="0.25">
      <c r="A77" s="41" t="s">
        <v>76</v>
      </c>
      <c r="B77" s="31">
        <f>SUM('K '!N87,'1-3 '!K87,'4-6'!K87,'7-8 '!K87,'9-12 '!K87,'Special Ed (Simplified)'!K87,'Special Ed (Goal)'!$U$15,'Other Spec'!O87)</f>
        <v>51779968.524964884</v>
      </c>
      <c r="C77" s="31">
        <f>'Inst. Support '!M86</f>
        <v>4567223.7949870843</v>
      </c>
      <c r="D77" s="31">
        <f>Health!G86</f>
        <v>1390137.1061091013</v>
      </c>
      <c r="E77" s="31">
        <f>'Sch Admin'!H87</f>
        <v>7093219.941515306</v>
      </c>
      <c r="F77" s="31">
        <f>'Mtrl &amp; Tech'!E85</f>
        <v>2358690.739290568</v>
      </c>
      <c r="G77" s="31">
        <f t="shared" si="1"/>
        <v>67189240.106866941</v>
      </c>
      <c r="J77" s="292"/>
    </row>
    <row r="78" spans="1:10" x14ac:dyDescent="0.25">
      <c r="A78" s="41" t="s">
        <v>77</v>
      </c>
      <c r="B78" s="31">
        <f>SUM('K '!N88,'1-3 '!K88,'4-6'!K88,'7-8 '!K88,'9-12 '!K88,'Special Ed (Simplified)'!K88,'Special Ed (Goal)'!$U$15,'Other Spec'!O88)</f>
        <v>32464911.407131985</v>
      </c>
      <c r="C78" s="31">
        <f>'Inst. Support '!M87</f>
        <v>2960006.7376678502</v>
      </c>
      <c r="D78" s="31">
        <f>Health!G87</f>
        <v>900944.50919645885</v>
      </c>
      <c r="E78" s="31">
        <f>'Sch Admin'!H88</f>
        <v>4532058.7155354917</v>
      </c>
      <c r="F78" s="31">
        <f>'Mtrl &amp; Tech'!E86</f>
        <v>1507034.1834023341</v>
      </c>
      <c r="G78" s="31">
        <f t="shared" si="1"/>
        <v>42364955.552934125</v>
      </c>
      <c r="J78" s="292"/>
    </row>
    <row r="79" spans="1:10" x14ac:dyDescent="0.25">
      <c r="A79" s="41" t="s">
        <v>78</v>
      </c>
      <c r="B79" s="31">
        <f>SUM('K '!N89,'1-3 '!K89,'4-6'!K89,'7-8 '!K89,'9-12 '!K89,'Special Ed (Simplified)'!K89,'Special Ed (Goal)'!$U$15,'Other Spec'!O89)</f>
        <v>75737529.064552903</v>
      </c>
      <c r="C79" s="31">
        <f>'Inst. Support '!M88</f>
        <v>6617065.0265323091</v>
      </c>
      <c r="D79" s="31">
        <f>Health!G88</f>
        <v>2014052.3083225393</v>
      </c>
      <c r="E79" s="31">
        <f>'Sch Admin'!H89</f>
        <v>10460490.103018966</v>
      </c>
      <c r="F79" s="31">
        <f>'Mtrl &amp; Tech'!E87</f>
        <v>3478400.6893716357</v>
      </c>
      <c r="G79" s="31">
        <f t="shared" si="1"/>
        <v>98307537.191798344</v>
      </c>
      <c r="J79" s="292"/>
    </row>
    <row r="80" spans="1:10" x14ac:dyDescent="0.25">
      <c r="A80" s="41" t="s">
        <v>79</v>
      </c>
      <c r="B80" s="31">
        <f>SUM('K '!N90,'1-3 '!K90,'4-6'!K90,'7-8 '!K90,'9-12 '!K90,'Special Ed (Simplified)'!K90,'Special Ed (Goal)'!$U$15,'Other Spec'!O90)</f>
        <v>18195012.21486539</v>
      </c>
      <c r="C80" s="31">
        <f>'Inst. Support '!M89</f>
        <v>1577164.8745093741</v>
      </c>
      <c r="D80" s="31">
        <f>Health!G89</f>
        <v>480045.54033761437</v>
      </c>
      <c r="E80" s="31">
        <f>'Sch Admin'!H90</f>
        <v>2521089.8745537526</v>
      </c>
      <c r="F80" s="31">
        <f>'Mtrl &amp; Tech'!E88</f>
        <v>838331.72932162427</v>
      </c>
      <c r="G80" s="31">
        <f t="shared" si="1"/>
        <v>23611644.233587757</v>
      </c>
      <c r="J80" s="292"/>
    </row>
    <row r="81" spans="1:10" x14ac:dyDescent="0.25">
      <c r="A81" s="41" t="s">
        <v>80</v>
      </c>
      <c r="B81" s="31">
        <f>SUM('K '!N91,'1-3 '!K91,'4-6'!K91,'7-8 '!K91,'9-12 '!K91,'Special Ed (Simplified)'!K91,'Special Ed (Goal)'!$U$15,'Other Spec'!O91)</f>
        <v>17070762.837721642</v>
      </c>
      <c r="C81" s="31">
        <f>'Inst. Support '!M90</f>
        <v>1426853.9845463098</v>
      </c>
      <c r="D81" s="31">
        <f>Health!G90</f>
        <v>434295.04617105285</v>
      </c>
      <c r="E81" s="31">
        <f>'Sch Admin'!H91</f>
        <v>2389571.4679466574</v>
      </c>
      <c r="F81" s="31">
        <f>'Mtrl &amp; Tech'!E89</f>
        <v>794598.24153072725</v>
      </c>
      <c r="G81" s="31">
        <f t="shared" si="1"/>
        <v>22116081.577916391</v>
      </c>
      <c r="J81" s="292"/>
    </row>
    <row r="82" spans="1:10" x14ac:dyDescent="0.25">
      <c r="A82" s="41" t="s">
        <v>81</v>
      </c>
      <c r="B82" s="31">
        <f>SUM('K '!N92,'1-3 '!K92,'4-6'!K92,'7-8 '!K92,'9-12 '!K92,'Special Ed (Simplified)'!K92,'Special Ed (Goal)'!$U$15,'Other Spec'!O92)</f>
        <v>23734643.881306238</v>
      </c>
      <c r="C82" s="31">
        <f>'Inst. Support '!M91</f>
        <v>2064188.4834548642</v>
      </c>
      <c r="D82" s="31">
        <f>Health!G91</f>
        <v>628282.11045913806</v>
      </c>
      <c r="E82" s="31">
        <f>'Sch Admin'!H92</f>
        <v>3294060.4560183892</v>
      </c>
      <c r="F82" s="31">
        <f>'Mtrl &amp; Tech'!E90</f>
        <v>1095365.709273922</v>
      </c>
      <c r="G82" s="31">
        <f t="shared" si="1"/>
        <v>30816540.640512552</v>
      </c>
      <c r="J82" s="292"/>
    </row>
    <row r="83" spans="1:10" x14ac:dyDescent="0.25">
      <c r="A83" s="41" t="s">
        <v>82</v>
      </c>
      <c r="B83" s="31">
        <f>SUM('K '!N93,'1-3 '!K93,'4-6'!K93,'7-8 '!K93,'9-12 '!K93,'Special Ed (Simplified)'!K93,'Special Ed (Goal)'!$U$15,'Other Spec'!O93)</f>
        <v>31503171.820811227</v>
      </c>
      <c r="C83" s="31">
        <f>'Inst. Support '!M92</f>
        <v>3204484.7431400265</v>
      </c>
      <c r="D83" s="31">
        <f>Health!G92</f>
        <v>975356.87922471052</v>
      </c>
      <c r="E83" s="31">
        <f>'Sch Admin'!H93</f>
        <v>4380342.0228098463</v>
      </c>
      <c r="F83" s="31">
        <f>'Mtrl &amp; Tech'!E91</f>
        <v>1456584.2098954751</v>
      </c>
      <c r="G83" s="31">
        <f t="shared" si="1"/>
        <v>41519939.675881289</v>
      </c>
      <c r="J83" s="292"/>
    </row>
    <row r="84" spans="1:10" x14ac:dyDescent="0.25">
      <c r="A84" s="41" t="s">
        <v>83</v>
      </c>
      <c r="B84" s="31">
        <f>SUM('K '!N94,'1-3 '!K94,'4-6'!K94,'7-8 '!K94,'9-12 '!K94,'Special Ed (Simplified)'!K94,'Special Ed (Goal)'!$U$15,'Other Spec'!O94)</f>
        <v>78345506.844809294</v>
      </c>
      <c r="C84" s="31">
        <f>'Inst. Support '!M93</f>
        <v>7134898.7863130737</v>
      </c>
      <c r="D84" s="31">
        <f>Health!G93</f>
        <v>2171666.6396056563</v>
      </c>
      <c r="E84" s="31">
        <f>'Sch Admin'!H94</f>
        <v>10896828.110408241</v>
      </c>
      <c r="F84" s="31">
        <f>'Mtrl &amp; Tech'!E92</f>
        <v>3623495.0789035247</v>
      </c>
      <c r="G84" s="31">
        <f t="shared" si="1"/>
        <v>102172395.46003979</v>
      </c>
      <c r="J84" s="292"/>
    </row>
    <row r="85" spans="1:10" x14ac:dyDescent="0.25">
      <c r="A85" s="41" t="s">
        <v>84</v>
      </c>
      <c r="B85" s="31">
        <f>SUM('K '!N95,'1-3 '!K95,'4-6'!K95,'7-8 '!K95,'9-12 '!K95,'Special Ed (Simplified)'!K95,'Special Ed (Goal)'!$U$15,'Other Spec'!O95)</f>
        <v>63662744.335316017</v>
      </c>
      <c r="C85" s="31">
        <f>'Inst. Support '!M94</f>
        <v>6637346.9182013785</v>
      </c>
      <c r="D85" s="31">
        <f>Health!G94</f>
        <v>2020225.5574245881</v>
      </c>
      <c r="E85" s="31">
        <f>'Sch Admin'!H95</f>
        <v>8714272.7078835256</v>
      </c>
      <c r="F85" s="31">
        <f>'Mtrl &amp; Tech'!E93</f>
        <v>2897735.3733862168</v>
      </c>
      <c r="G85" s="31">
        <f t="shared" si="1"/>
        <v>83932324.89221172</v>
      </c>
      <c r="J85" s="292"/>
    </row>
    <row r="86" spans="1:10" ht="15.75" thickBot="1" x14ac:dyDescent="0.3">
      <c r="A86" s="687" t="s">
        <v>312</v>
      </c>
      <c r="B86" s="9">
        <f>SUM(B5:B85)</f>
        <v>3287691097.9899707</v>
      </c>
      <c r="C86" s="9">
        <f t="shared" ref="C86:G86" si="2">SUM(C5:C85)</f>
        <v>300322861.49192965</v>
      </c>
      <c r="D86" s="9">
        <f t="shared" si="2"/>
        <v>91410005.796305865</v>
      </c>
      <c r="E86" s="9">
        <f t="shared" si="2"/>
        <v>454954041.32366103</v>
      </c>
      <c r="F86" s="9">
        <f t="shared" si="2"/>
        <v>151284732.87460127</v>
      </c>
      <c r="G86" s="9">
        <f t="shared" si="2"/>
        <v>4285662739.4764681</v>
      </c>
      <c r="J86" s="292"/>
    </row>
  </sheetData>
  <printOptions horizontalCentered="1"/>
  <pageMargins left="0.5" right="0.5" top="0.5" bottom="0.5" header="0.3" footer="0.3"/>
  <pageSetup scale="78" fitToHeight="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>
    <pageSetUpPr fitToPage="1"/>
  </sheetPr>
  <dimension ref="A1:M98"/>
  <sheetViews>
    <sheetView zoomScaleNormal="100" workbookViewId="0">
      <selection activeCell="D1" sqref="D1"/>
    </sheetView>
  </sheetViews>
  <sheetFormatPr defaultRowHeight="15" x14ac:dyDescent="0.25"/>
  <cols>
    <col min="1" max="1" width="17.85546875" style="1" customWidth="1"/>
    <col min="2" max="2" width="11.7109375" style="1" customWidth="1"/>
    <col min="3" max="3" width="15" style="1" bestFit="1" customWidth="1"/>
    <col min="4" max="5" width="13.5703125" style="1" bestFit="1" customWidth="1"/>
    <col min="6" max="6" width="12.7109375" style="1" bestFit="1" customWidth="1"/>
    <col min="7" max="7" width="16.140625" style="1" bestFit="1" customWidth="1"/>
    <col min="8" max="8" width="15.140625" style="1" bestFit="1" customWidth="1"/>
    <col min="9" max="9" width="13.85546875" style="1" bestFit="1" customWidth="1"/>
    <col min="10" max="10" width="17.5703125" style="1" bestFit="1" customWidth="1"/>
    <col min="11" max="11" width="15.85546875" style="1" customWidth="1"/>
    <col min="12" max="12" width="20.140625" style="1" bestFit="1" customWidth="1"/>
    <col min="13" max="16384" width="9.140625" style="1"/>
  </cols>
  <sheetData>
    <row r="1" spans="1:11" ht="23.25" x14ac:dyDescent="0.35">
      <c r="A1" s="207" t="s">
        <v>684</v>
      </c>
    </row>
    <row r="2" spans="1:11" ht="15.75" thickBot="1" x14ac:dyDescent="0.3"/>
    <row r="3" spans="1:11" s="249" customFormat="1" x14ac:dyDescent="0.25">
      <c r="A3" s="638" t="s">
        <v>155</v>
      </c>
      <c r="B3" s="42" t="s">
        <v>156</v>
      </c>
      <c r="C3" s="894" t="s">
        <v>678</v>
      </c>
      <c r="D3" s="895"/>
      <c r="E3" s="894" t="s">
        <v>157</v>
      </c>
      <c r="F3" s="895"/>
      <c r="G3" s="894" t="s">
        <v>681</v>
      </c>
      <c r="H3" s="895"/>
      <c r="I3" s="643"/>
    </row>
    <row r="4" spans="1:11" x14ac:dyDescent="0.25">
      <c r="A4" s="211" t="s">
        <v>679</v>
      </c>
      <c r="B4" s="250">
        <f>Amounts!C54</f>
        <v>1.8</v>
      </c>
      <c r="C4" s="211" t="s">
        <v>95</v>
      </c>
      <c r="D4" s="43">
        <f>Amounts!C59</f>
        <v>44586</v>
      </c>
      <c r="E4" s="592"/>
      <c r="F4" s="592"/>
      <c r="G4" s="211" t="s">
        <v>95</v>
      </c>
      <c r="H4" s="43">
        <f>Amounts!C61</f>
        <v>20509.560000000001</v>
      </c>
      <c r="I4" s="592"/>
    </row>
    <row r="5" spans="1:11" ht="26.25" x14ac:dyDescent="0.25">
      <c r="A5" s="212" t="s">
        <v>159</v>
      </c>
      <c r="B5" s="250">
        <f>Amounts!C55</f>
        <v>2.4</v>
      </c>
      <c r="C5" s="212" t="s">
        <v>138</v>
      </c>
      <c r="D5" s="43">
        <f>D4*B10</f>
        <v>12600.0036</v>
      </c>
      <c r="E5" s="211" t="s">
        <v>204</v>
      </c>
      <c r="F5" s="43">
        <f>Amounts!C60</f>
        <v>6687.9</v>
      </c>
      <c r="G5" s="212" t="s">
        <v>138</v>
      </c>
      <c r="H5" s="43">
        <f>H4*B10</f>
        <v>5796.0016560000004</v>
      </c>
      <c r="I5" s="592"/>
    </row>
    <row r="6" spans="1:11" ht="15.75" thickBot="1" x14ac:dyDescent="0.3">
      <c r="A6" s="213" t="s">
        <v>160</v>
      </c>
      <c r="B6" s="269">
        <f>Amounts!C56</f>
        <v>1.5</v>
      </c>
      <c r="C6" s="213" t="s">
        <v>98</v>
      </c>
      <c r="D6" s="44">
        <f>Amounts!B6</f>
        <v>6798</v>
      </c>
      <c r="E6" s="213"/>
      <c r="F6" s="44"/>
      <c r="G6" s="213" t="s">
        <v>98</v>
      </c>
      <c r="H6" s="44">
        <f>Amounts!B6</f>
        <v>6798</v>
      </c>
      <c r="I6" s="592"/>
    </row>
    <row r="7" spans="1:11" ht="15.75" thickBot="1" x14ac:dyDescent="0.3">
      <c r="A7" s="35"/>
      <c r="B7" s="214"/>
      <c r="C7" s="592"/>
      <c r="D7" s="592"/>
      <c r="E7" s="592"/>
      <c r="F7" s="592"/>
      <c r="G7" s="592"/>
      <c r="H7" s="592"/>
      <c r="I7" s="592"/>
    </row>
    <row r="8" spans="1:11" x14ac:dyDescent="0.25">
      <c r="A8" s="681" t="s">
        <v>677</v>
      </c>
      <c r="B8" s="215">
        <f>Amounts!E54</f>
        <v>2750</v>
      </c>
      <c r="C8" s="681" t="s">
        <v>205</v>
      </c>
      <c r="D8" s="252">
        <f>Amounts!E59</f>
        <v>1</v>
      </c>
      <c r="E8" s="681" t="s">
        <v>206</v>
      </c>
      <c r="F8" s="215">
        <f>Amounts!E60</f>
        <v>1</v>
      </c>
      <c r="G8" s="681" t="s">
        <v>592</v>
      </c>
      <c r="H8" s="215">
        <f>Amounts!E61</f>
        <v>1</v>
      </c>
      <c r="I8" s="592"/>
    </row>
    <row r="9" spans="1:11" ht="15.75" thickBot="1" x14ac:dyDescent="0.3">
      <c r="A9" s="683" t="s">
        <v>180</v>
      </c>
      <c r="B9" s="216"/>
      <c r="C9" s="683" t="s">
        <v>198</v>
      </c>
      <c r="D9" s="216">
        <f>Amounts!G59</f>
        <v>640</v>
      </c>
      <c r="E9" s="683" t="s">
        <v>198</v>
      </c>
      <c r="F9" s="216">
        <f>Amounts!G60</f>
        <v>640</v>
      </c>
      <c r="G9" s="683" t="s">
        <v>593</v>
      </c>
      <c r="H9" s="216">
        <f>Amounts!G61</f>
        <v>110</v>
      </c>
      <c r="I9" s="592"/>
    </row>
    <row r="10" spans="1:11" ht="15.75" thickBot="1" x14ac:dyDescent="0.3">
      <c r="A10" s="35" t="s">
        <v>161</v>
      </c>
      <c r="B10" s="231">
        <f>Amounts!B9</f>
        <v>0.28260000000000002</v>
      </c>
      <c r="C10" s="592"/>
      <c r="D10" s="592"/>
      <c r="E10" s="686"/>
      <c r="F10" s="253"/>
      <c r="G10" s="592"/>
      <c r="H10" s="592"/>
      <c r="I10" s="592"/>
    </row>
    <row r="11" spans="1:11" ht="15.75" thickBot="1" x14ac:dyDescent="0.3">
      <c r="D11" s="900" t="s">
        <v>604</v>
      </c>
      <c r="E11" s="902"/>
      <c r="F11" s="901"/>
      <c r="G11" s="900" t="s">
        <v>682</v>
      </c>
      <c r="H11" s="901"/>
      <c r="I11" s="256" t="s">
        <v>683</v>
      </c>
      <c r="J11" s="256" t="s">
        <v>91</v>
      </c>
      <c r="K11" s="257"/>
    </row>
    <row r="12" spans="1:11" ht="45" customHeight="1" x14ac:dyDescent="0.25">
      <c r="A12" s="848" t="s">
        <v>0</v>
      </c>
      <c r="B12" s="831" t="s">
        <v>86</v>
      </c>
      <c r="C12" s="890" t="s">
        <v>184</v>
      </c>
      <c r="D12" s="844" t="s">
        <v>680</v>
      </c>
      <c r="E12" s="846" t="s">
        <v>159</v>
      </c>
      <c r="F12" s="829" t="s">
        <v>160</v>
      </c>
      <c r="G12" s="844" t="s">
        <v>678</v>
      </c>
      <c r="H12" s="829" t="s">
        <v>223</v>
      </c>
      <c r="I12" s="827" t="s">
        <v>162</v>
      </c>
      <c r="J12" s="890" t="s">
        <v>112</v>
      </c>
    </row>
    <row r="13" spans="1:11" x14ac:dyDescent="0.25">
      <c r="A13" s="849"/>
      <c r="B13" s="832"/>
      <c r="C13" s="891"/>
      <c r="D13" s="845"/>
      <c r="E13" s="847"/>
      <c r="F13" s="830"/>
      <c r="G13" s="845"/>
      <c r="H13" s="830"/>
      <c r="I13" s="828"/>
      <c r="J13" s="891"/>
    </row>
    <row r="14" spans="1:11" s="241" customFormat="1" x14ac:dyDescent="0.25">
      <c r="A14" s="735" t="s">
        <v>715</v>
      </c>
      <c r="B14" s="693" t="s">
        <v>716</v>
      </c>
      <c r="C14" s="693" t="s">
        <v>717</v>
      </c>
      <c r="D14" s="699" t="s">
        <v>718</v>
      </c>
      <c r="E14" s="700" t="s">
        <v>719</v>
      </c>
      <c r="F14" s="736" t="s">
        <v>720</v>
      </c>
      <c r="G14" s="699" t="s">
        <v>721</v>
      </c>
      <c r="H14" s="701" t="s">
        <v>722</v>
      </c>
      <c r="I14" s="736" t="s">
        <v>723</v>
      </c>
      <c r="J14" s="737" t="s">
        <v>724</v>
      </c>
    </row>
    <row r="15" spans="1:11" ht="15" customHeight="1" x14ac:dyDescent="0.25">
      <c r="A15" s="30" t="s">
        <v>4</v>
      </c>
      <c r="B15" s="219">
        <v>2915.96</v>
      </c>
      <c r="C15" s="39">
        <f>SUM('K '!L15,'1-3 '!J15,'4-6'!J15,'7-8 '!J15,'9-12 '!J15,'Special Ed (Simplified)'!I15,'Special Ed (Goal)'!T15)</f>
        <v>186.0934763298053</v>
      </c>
      <c r="D15" s="258">
        <f>(($B$4)*$B$8)*C15</f>
        <v>921162.70783253619</v>
      </c>
      <c r="E15" s="220">
        <f>($B$5*$B$8)*C15</f>
        <v>1228216.9437767151</v>
      </c>
      <c r="F15" s="259">
        <f>($B$6*$B$8)*C15</f>
        <v>767635.58986044687</v>
      </c>
      <c r="G15" s="258">
        <f>(($D$4+$D$5+$D$6)*$D$8)*(B15/$D$9)</f>
        <v>291523.11740227498</v>
      </c>
      <c r="H15" s="260">
        <f>($F$5*$F$8)*(B15/$F$9)</f>
        <v>30471.326381249997</v>
      </c>
      <c r="I15" s="261">
        <f>((($H$4+$H$5+$H$6)*$H$8)*(B15/$H$9))</f>
        <v>877533.28769481613</v>
      </c>
      <c r="J15" s="262">
        <f>D15+E15+F15+G15+H15+I15</f>
        <v>4116542.972948039</v>
      </c>
      <c r="K15" s="210"/>
    </row>
    <row r="16" spans="1:11" x14ac:dyDescent="0.25">
      <c r="A16" s="30" t="s">
        <v>5</v>
      </c>
      <c r="B16" s="219">
        <v>23246.81</v>
      </c>
      <c r="C16" s="39">
        <f>SUM('K '!L16,'1-3 '!J16,'4-6'!J16,'7-8 '!J16,'9-12 '!J16,'Special Ed (Simplified)'!I16,'Special Ed (Goal)'!T16)</f>
        <v>1466.4360887812882</v>
      </c>
      <c r="D16" s="258">
        <f t="shared" ref="D16:D79" si="0">(($B$4)*$B$8)*C16</f>
        <v>7258858.6394673763</v>
      </c>
      <c r="E16" s="220">
        <f t="shared" ref="E16:E79" si="1">($B$5*$B$8)*C16</f>
        <v>9678478.1859565023</v>
      </c>
      <c r="F16" s="259">
        <f t="shared" ref="F16:F79" si="2">($B$6*$B$8)*C16</f>
        <v>6049048.8662228137</v>
      </c>
      <c r="G16" s="258">
        <f t="shared" ref="G16:G79" si="3">(($D$4+$D$5+$D$6)*$D$8)*(B16/$D$9)</f>
        <v>2324099.9605133063</v>
      </c>
      <c r="H16" s="260">
        <f t="shared" ref="H16:H79" si="4">($F$5*$F$8)*(B16/$F$9)</f>
        <v>242925.53218593748</v>
      </c>
      <c r="I16" s="261">
        <f>((($H$4+$H$5+$H$6)*$H$8)*(B16/$H$9))</f>
        <v>6995929.1649119779</v>
      </c>
      <c r="J16" s="262">
        <f t="shared" ref="J16:J79" si="5">D16+E16+F16+G16+H16+I16</f>
        <v>32549340.349257912</v>
      </c>
    </row>
    <row r="17" spans="1:13" x14ac:dyDescent="0.25">
      <c r="A17" s="30" t="s">
        <v>6</v>
      </c>
      <c r="B17" s="219">
        <v>1028.55</v>
      </c>
      <c r="C17" s="39">
        <f>SUM('K '!L17,'1-3 '!J17,'4-6'!J17,'7-8 '!J17,'9-12 '!J17,'Special Ed (Simplified)'!I17,'Special Ed (Goal)'!T17)</f>
        <v>69.316766251046957</v>
      </c>
      <c r="D17" s="258">
        <f t="shared" si="0"/>
        <v>343117.99294268241</v>
      </c>
      <c r="E17" s="220">
        <f t="shared" si="1"/>
        <v>457490.65725690994</v>
      </c>
      <c r="F17" s="259">
        <f t="shared" si="2"/>
        <v>285931.6607855687</v>
      </c>
      <c r="G17" s="258">
        <f t="shared" si="3"/>
        <v>102829.29203559374</v>
      </c>
      <c r="H17" s="260">
        <f t="shared" si="4"/>
        <v>10748.186789062498</v>
      </c>
      <c r="I17" s="261">
        <f t="shared" ref="I17:I80" si="6">((($H$4+$H$5+$H$6)*$H$8)*(B17/$H$9))</f>
        <v>309533.34855708003</v>
      </c>
      <c r="J17" s="262">
        <f t="shared" si="5"/>
        <v>1509651.1383668971</v>
      </c>
    </row>
    <row r="18" spans="1:13" x14ac:dyDescent="0.25">
      <c r="A18" s="30" t="s">
        <v>7</v>
      </c>
      <c r="B18" s="219">
        <v>9875.19</v>
      </c>
      <c r="C18" s="39">
        <f>SUM('K '!L18,'1-3 '!J18,'4-6'!J18,'7-8 '!J18,'9-12 '!J18,'Special Ed (Simplified)'!I18,'Special Ed (Goal)'!T18)</f>
        <v>601.41425616563811</v>
      </c>
      <c r="D18" s="258">
        <f t="shared" si="0"/>
        <v>2977000.5680199089</v>
      </c>
      <c r="E18" s="220">
        <f t="shared" si="1"/>
        <v>3969334.0906932116</v>
      </c>
      <c r="F18" s="259">
        <f t="shared" si="2"/>
        <v>2480833.8066832572</v>
      </c>
      <c r="G18" s="258">
        <f t="shared" si="3"/>
        <v>987272.17579794372</v>
      </c>
      <c r="H18" s="260">
        <f t="shared" si="4"/>
        <v>103194.1925015625</v>
      </c>
      <c r="I18" s="261">
        <f t="shared" si="6"/>
        <v>2971854.1911792243</v>
      </c>
      <c r="J18" s="262">
        <f t="shared" si="5"/>
        <v>13489489.024875108</v>
      </c>
    </row>
    <row r="19" spans="1:13" x14ac:dyDescent="0.25">
      <c r="A19" s="30" t="s">
        <v>8</v>
      </c>
      <c r="B19" s="219">
        <v>3618.89</v>
      </c>
      <c r="C19" s="39">
        <f>SUM('K '!L19,'1-3 '!J19,'4-6'!J19,'7-8 '!J19,'9-12 '!J19,'Special Ed (Simplified)'!I19,'Special Ed (Goal)'!T19)</f>
        <v>232.05412247449564</v>
      </c>
      <c r="D19" s="258">
        <f t="shared" si="0"/>
        <v>1148667.9062487534</v>
      </c>
      <c r="E19" s="220">
        <f t="shared" si="1"/>
        <v>1531557.2083316713</v>
      </c>
      <c r="F19" s="259">
        <f t="shared" si="2"/>
        <v>957223.25520729448</v>
      </c>
      <c r="G19" s="258">
        <f t="shared" si="3"/>
        <v>361798.54810625623</v>
      </c>
      <c r="H19" s="260">
        <f t="shared" si="4"/>
        <v>37816.835048437497</v>
      </c>
      <c r="I19" s="261">
        <f t="shared" si="6"/>
        <v>1089074.0749207442</v>
      </c>
      <c r="J19" s="262">
        <f t="shared" si="5"/>
        <v>5126137.8278631568</v>
      </c>
    </row>
    <row r="20" spans="1:13" x14ac:dyDescent="0.25">
      <c r="A20" s="30" t="s">
        <v>9</v>
      </c>
      <c r="B20" s="219">
        <v>2479.0500000000002</v>
      </c>
      <c r="C20" s="39">
        <f>SUM('K '!L20,'1-3 '!J20,'4-6'!J20,'7-8 '!J20,'9-12 '!J20,'Special Ed (Simplified)'!I20,'Special Ed (Goal)'!T20)</f>
        <v>161.82754788098188</v>
      </c>
      <c r="D20" s="258">
        <f t="shared" si="0"/>
        <v>801046.36201086035</v>
      </c>
      <c r="E20" s="220">
        <f t="shared" si="1"/>
        <v>1068061.8160144803</v>
      </c>
      <c r="F20" s="259">
        <f t="shared" si="2"/>
        <v>667538.63500905025</v>
      </c>
      <c r="G20" s="258">
        <f t="shared" si="3"/>
        <v>247843.03769465626</v>
      </c>
      <c r="H20" s="260">
        <f t="shared" si="4"/>
        <v>25905.6851484375</v>
      </c>
      <c r="I20" s="261">
        <f t="shared" si="6"/>
        <v>746048.95021188015</v>
      </c>
      <c r="J20" s="262">
        <f t="shared" si="5"/>
        <v>3556444.4860893651</v>
      </c>
    </row>
    <row r="21" spans="1:13" x14ac:dyDescent="0.25">
      <c r="A21" s="30" t="s">
        <v>10</v>
      </c>
      <c r="B21" s="219">
        <v>2744.29</v>
      </c>
      <c r="C21" s="39">
        <f>SUM('K '!L21,'1-3 '!J21,'4-6'!J21,'7-8 '!J21,'9-12 '!J21,'Special Ed (Simplified)'!I21,'Special Ed (Goal)'!T21)</f>
        <v>174.96329925459273</v>
      </c>
      <c r="D21" s="258">
        <f t="shared" si="0"/>
        <v>866068.33131023403</v>
      </c>
      <c r="E21" s="220">
        <f t="shared" si="1"/>
        <v>1154757.775080312</v>
      </c>
      <c r="F21" s="259">
        <f t="shared" si="2"/>
        <v>721723.60942519503</v>
      </c>
      <c r="G21" s="258">
        <f t="shared" si="3"/>
        <v>274360.40818663122</v>
      </c>
      <c r="H21" s="260">
        <f t="shared" si="4"/>
        <v>28677.401704687494</v>
      </c>
      <c r="I21" s="261">
        <f t="shared" si="6"/>
        <v>825870.66560858407</v>
      </c>
      <c r="J21" s="262">
        <f t="shared" si="5"/>
        <v>3871458.191315644</v>
      </c>
    </row>
    <row r="22" spans="1:13" x14ac:dyDescent="0.25">
      <c r="A22" s="30" t="s">
        <v>11</v>
      </c>
      <c r="B22" s="219">
        <v>12671.61</v>
      </c>
      <c r="C22" s="39">
        <f>SUM('K '!L22,'1-3 '!J22,'4-6'!J22,'7-8 '!J22,'9-12 '!J22,'Special Ed (Simplified)'!I22,'Special Ed (Goal)'!T23)</f>
        <v>801.04198960022097</v>
      </c>
      <c r="D22" s="258">
        <f t="shared" si="0"/>
        <v>3965157.8485210938</v>
      </c>
      <c r="E22" s="220">
        <f t="shared" si="1"/>
        <v>5286877.1313614585</v>
      </c>
      <c r="F22" s="259">
        <f t="shared" si="2"/>
        <v>3304298.2071009115</v>
      </c>
      <c r="G22" s="258">
        <f t="shared" si="3"/>
        <v>1266844.2810278062</v>
      </c>
      <c r="H22" s="260">
        <f t="shared" si="4"/>
        <v>132416.34456093749</v>
      </c>
      <c r="I22" s="261">
        <f t="shared" si="6"/>
        <v>3813412.9355980572</v>
      </c>
      <c r="J22" s="262">
        <f t="shared" si="5"/>
        <v>17769006.748170268</v>
      </c>
    </row>
    <row r="23" spans="1:13" x14ac:dyDescent="0.25">
      <c r="A23" s="30" t="s">
        <v>12</v>
      </c>
      <c r="B23" s="219">
        <v>1256.76</v>
      </c>
      <c r="C23" s="39">
        <f>SUM('K '!L23,'1-3 '!J23,'4-6'!J23,'7-8 '!J23,'9-12 '!J23,'Special Ed (Simplified)'!I23,'Special Ed (Goal)'!T24)</f>
        <v>82.03054419581116</v>
      </c>
      <c r="D23" s="258">
        <f t="shared" si="0"/>
        <v>406051.19376926526</v>
      </c>
      <c r="E23" s="220">
        <f t="shared" si="1"/>
        <v>541401.5916923536</v>
      </c>
      <c r="F23" s="259">
        <f t="shared" si="2"/>
        <v>338375.99480772106</v>
      </c>
      <c r="G23" s="258">
        <f t="shared" si="3"/>
        <v>125644.58806927499</v>
      </c>
      <c r="H23" s="260">
        <f t="shared" si="4"/>
        <v>13132.945631249999</v>
      </c>
      <c r="I23" s="261">
        <f t="shared" si="6"/>
        <v>378211.20133449603</v>
      </c>
      <c r="J23" s="262">
        <f t="shared" si="5"/>
        <v>1802817.515304361</v>
      </c>
    </row>
    <row r="24" spans="1:13" x14ac:dyDescent="0.25">
      <c r="A24" s="30" t="s">
        <v>13</v>
      </c>
      <c r="B24" s="219">
        <v>638.25</v>
      </c>
      <c r="C24" s="39">
        <f>SUM('K '!L24,'1-3 '!J24,'4-6'!J24,'7-8 '!J24,'9-12 '!J24,'Special Ed (Simplified)'!I24,'Special Ed (Goal)'!T25)</f>
        <v>45.809135494692619</v>
      </c>
      <c r="D24" s="258">
        <f t="shared" si="0"/>
        <v>226755.22069872846</v>
      </c>
      <c r="E24" s="220">
        <f t="shared" si="1"/>
        <v>302340.29426497128</v>
      </c>
      <c r="F24" s="259">
        <f t="shared" si="2"/>
        <v>188962.68391560705</v>
      </c>
      <c r="G24" s="258">
        <f t="shared" si="3"/>
        <v>63809.047340156249</v>
      </c>
      <c r="H24" s="260">
        <f t="shared" si="4"/>
        <v>6669.6127734374995</v>
      </c>
      <c r="I24" s="261">
        <f t="shared" si="6"/>
        <v>192075.89297220003</v>
      </c>
      <c r="J24" s="262">
        <f t="shared" si="5"/>
        <v>980612.75196510064</v>
      </c>
    </row>
    <row r="25" spans="1:13" x14ac:dyDescent="0.25">
      <c r="A25" s="30" t="s">
        <v>14</v>
      </c>
      <c r="B25" s="219">
        <v>587.14</v>
      </c>
      <c r="C25" s="39">
        <f>SUM('K '!L25,'1-3 '!J25,'4-6'!J25,'7-8 '!J25,'9-12 '!J25,'Special Ed (Simplified)'!I25,'Special Ed (Goal)'!T26)</f>
        <v>40.998846091204371</v>
      </c>
      <c r="D25" s="258">
        <f t="shared" si="0"/>
        <v>202944.28815146163</v>
      </c>
      <c r="E25" s="220">
        <f t="shared" si="1"/>
        <v>270592.38420194882</v>
      </c>
      <c r="F25" s="259">
        <f t="shared" si="2"/>
        <v>169120.24012621804</v>
      </c>
      <c r="G25" s="258">
        <f t="shared" si="3"/>
        <v>58699.324802662493</v>
      </c>
      <c r="H25" s="260">
        <f t="shared" si="4"/>
        <v>6135.5212593749993</v>
      </c>
      <c r="I25" s="261">
        <f t="shared" si="6"/>
        <v>176694.77446094403</v>
      </c>
      <c r="J25" s="262">
        <f t="shared" si="5"/>
        <v>884186.53300260997</v>
      </c>
    </row>
    <row r="26" spans="1:13" x14ac:dyDescent="0.25">
      <c r="A26" s="30" t="s">
        <v>15</v>
      </c>
      <c r="B26" s="219">
        <v>822.79</v>
      </c>
      <c r="C26" s="39">
        <f>SUM('K '!L26,'1-3 '!J26,'4-6'!J26,'7-8 '!J26,'9-12 '!J26,'Special Ed (Simplified)'!I26,'Special Ed (Goal)'!T27)</f>
        <v>54.369716113994578</v>
      </c>
      <c r="D26" s="258">
        <f t="shared" si="0"/>
        <v>269130.09476427315</v>
      </c>
      <c r="E26" s="220">
        <f t="shared" si="1"/>
        <v>358840.1263523642</v>
      </c>
      <c r="F26" s="259">
        <f t="shared" si="2"/>
        <v>224275.07897022762</v>
      </c>
      <c r="G26" s="258">
        <f t="shared" si="3"/>
        <v>82258.434878193744</v>
      </c>
      <c r="H26" s="260">
        <f t="shared" si="4"/>
        <v>8598.0269390624999</v>
      </c>
      <c r="I26" s="261">
        <f t="shared" si="6"/>
        <v>247611.63177218402</v>
      </c>
      <c r="J26" s="262">
        <f t="shared" si="5"/>
        <v>1190713.3936763052</v>
      </c>
    </row>
    <row r="27" spans="1:13" x14ac:dyDescent="0.25">
      <c r="A27" s="30" t="s">
        <v>16</v>
      </c>
      <c r="B27" s="219">
        <v>2117.3200000000002</v>
      </c>
      <c r="C27" s="39">
        <f>SUM('K '!L27,'1-3 '!J27,'4-6'!J27,'7-8 '!J27,'9-12 '!J27,'Special Ed (Simplified)'!I27,'Special Ed (Goal)'!T28)</f>
        <v>140.96700045489638</v>
      </c>
      <c r="D27" s="258">
        <f t="shared" si="0"/>
        <v>697786.65225173708</v>
      </c>
      <c r="E27" s="220">
        <f t="shared" si="1"/>
        <v>930382.20300231606</v>
      </c>
      <c r="F27" s="259">
        <f t="shared" si="2"/>
        <v>581488.87687644758</v>
      </c>
      <c r="G27" s="258">
        <f t="shared" si="3"/>
        <v>211679.07890992501</v>
      </c>
      <c r="H27" s="260">
        <f t="shared" si="4"/>
        <v>22125.663168750001</v>
      </c>
      <c r="I27" s="261">
        <f t="shared" si="6"/>
        <v>637189.39241347217</v>
      </c>
      <c r="J27" s="262">
        <f t="shared" si="5"/>
        <v>3080651.8666226477</v>
      </c>
    </row>
    <row r="28" spans="1:13" x14ac:dyDescent="0.25">
      <c r="A28" s="30" t="s">
        <v>17</v>
      </c>
      <c r="B28" s="219">
        <v>21287.25</v>
      </c>
      <c r="C28" s="39">
        <f>SUM('K '!L28,'1-3 '!J28,'4-6'!J28,'7-8 '!J28,'9-12 '!J28,'Special Ed (Simplified)'!I28,'Special Ed (Goal)'!T29)</f>
        <v>1276.8656224340612</v>
      </c>
      <c r="D28" s="258">
        <f t="shared" si="0"/>
        <v>6320484.8310486022</v>
      </c>
      <c r="E28" s="220">
        <f t="shared" si="1"/>
        <v>8427313.1080648042</v>
      </c>
      <c r="F28" s="259">
        <f t="shared" si="2"/>
        <v>5267070.6925405022</v>
      </c>
      <c r="G28" s="258">
        <f t="shared" si="3"/>
        <v>2128192.938490781</v>
      </c>
      <c r="H28" s="260">
        <f t="shared" si="4"/>
        <v>222448.43636718747</v>
      </c>
      <c r="I28" s="261">
        <f t="shared" si="6"/>
        <v>6406216.2987426016</v>
      </c>
      <c r="J28" s="262">
        <f t="shared" si="5"/>
        <v>28771726.305254482</v>
      </c>
      <c r="L28" s="210"/>
      <c r="M28" s="210"/>
    </row>
    <row r="29" spans="1:13" x14ac:dyDescent="0.25">
      <c r="A29" s="30" t="s">
        <v>18</v>
      </c>
      <c r="B29" s="219">
        <v>34520.18</v>
      </c>
      <c r="C29" s="39">
        <f>SUM('K '!L29,'1-3 '!J29,'4-6'!J29,'7-8 '!J29,'9-12 '!J29,'Special Ed (Simplified)'!I29,'Special Ed (Goal)'!T30)</f>
        <v>2112.1296814906145</v>
      </c>
      <c r="D29" s="258">
        <f t="shared" si="0"/>
        <v>10455041.923378542</v>
      </c>
      <c r="E29" s="220">
        <f t="shared" si="1"/>
        <v>13940055.897838056</v>
      </c>
      <c r="F29" s="259">
        <f t="shared" si="2"/>
        <v>8712534.9361487851</v>
      </c>
      <c r="G29" s="258">
        <f t="shared" si="3"/>
        <v>3451155.1896760124</v>
      </c>
      <c r="H29" s="260">
        <f t="shared" si="4"/>
        <v>360730.487221875</v>
      </c>
      <c r="I29" s="261">
        <f t="shared" si="6"/>
        <v>10388553.700056529</v>
      </c>
      <c r="J29" s="262">
        <f t="shared" si="5"/>
        <v>47308072.134319797</v>
      </c>
    </row>
    <row r="30" spans="1:13" x14ac:dyDescent="0.25">
      <c r="A30" s="30" t="s">
        <v>19</v>
      </c>
      <c r="B30" s="219">
        <v>1587.18</v>
      </c>
      <c r="C30" s="39">
        <f>SUM('K '!L30,'1-3 '!J30,'4-6'!J30,'7-8 '!J30,'9-12 '!J30,'Special Ed (Simplified)'!I30,'Special Ed (Goal)'!T31)</f>
        <v>106.40035626933674</v>
      </c>
      <c r="D30" s="258">
        <f t="shared" si="0"/>
        <v>526681.7635332169</v>
      </c>
      <c r="E30" s="220">
        <f t="shared" si="1"/>
        <v>702242.35137762246</v>
      </c>
      <c r="F30" s="259">
        <f t="shared" si="2"/>
        <v>438901.46961101406</v>
      </c>
      <c r="G30" s="258">
        <f t="shared" si="3"/>
        <v>158678.32942788751</v>
      </c>
      <c r="H30" s="260">
        <f t="shared" si="4"/>
        <v>16585.783003125001</v>
      </c>
      <c r="I30" s="261">
        <f t="shared" si="6"/>
        <v>477648.28171972808</v>
      </c>
      <c r="J30" s="262">
        <f t="shared" si="5"/>
        <v>2320737.9786725938</v>
      </c>
    </row>
    <row r="31" spans="1:13" x14ac:dyDescent="0.25">
      <c r="A31" s="30" t="s">
        <v>20</v>
      </c>
      <c r="B31" s="219">
        <v>46485.36</v>
      </c>
      <c r="C31" s="39">
        <f>SUM('K '!L31,'1-3 '!J31,'4-6'!J31,'7-8 '!J31,'9-12 '!J31,'Special Ed (Simplified)'!I31,'Special Ed (Goal)'!T32)</f>
        <v>2764.1147514120739</v>
      </c>
      <c r="D31" s="258">
        <f t="shared" si="0"/>
        <v>13682368.019489765</v>
      </c>
      <c r="E31" s="220">
        <f t="shared" si="1"/>
        <v>18243157.359319687</v>
      </c>
      <c r="F31" s="259">
        <f t="shared" si="2"/>
        <v>11401973.349574804</v>
      </c>
      <c r="G31" s="258">
        <f t="shared" si="3"/>
        <v>4647374.1274801502</v>
      </c>
      <c r="H31" s="260">
        <f t="shared" si="4"/>
        <v>485764.7486625</v>
      </c>
      <c r="I31" s="261">
        <f t="shared" si="6"/>
        <v>13989372.553285059</v>
      </c>
      <c r="J31" s="262">
        <f t="shared" si="5"/>
        <v>62450010.15781197</v>
      </c>
    </row>
    <row r="32" spans="1:13" x14ac:dyDescent="0.25">
      <c r="A32" s="30" t="s">
        <v>21</v>
      </c>
      <c r="B32" s="219">
        <v>8259.2199999999993</v>
      </c>
      <c r="C32" s="39">
        <f>SUM('K '!L32,'1-3 '!J32,'4-6'!J32,'7-8 '!J32,'9-12 '!J32,'Special Ed (Simplified)'!I32,'Special Ed (Goal)'!T33)</f>
        <v>528.80302009104196</v>
      </c>
      <c r="D32" s="258">
        <f t="shared" si="0"/>
        <v>2617574.9494506577</v>
      </c>
      <c r="E32" s="220">
        <f t="shared" si="1"/>
        <v>3490099.9326008768</v>
      </c>
      <c r="F32" s="259">
        <f t="shared" si="2"/>
        <v>2181312.4578755479</v>
      </c>
      <c r="G32" s="258">
        <f t="shared" si="3"/>
        <v>825715.56595811236</v>
      </c>
      <c r="H32" s="260">
        <f t="shared" si="4"/>
        <v>86307.55849687499</v>
      </c>
      <c r="I32" s="261">
        <f t="shared" si="6"/>
        <v>2485541.8045497122</v>
      </c>
      <c r="J32" s="262">
        <f t="shared" si="5"/>
        <v>11686552.268931784</v>
      </c>
    </row>
    <row r="33" spans="1:10" x14ac:dyDescent="0.25">
      <c r="A33" s="30" t="s">
        <v>22</v>
      </c>
      <c r="B33" s="219">
        <v>4970.04</v>
      </c>
      <c r="C33" s="39">
        <f>SUM('K '!L33,'1-3 '!J33,'4-6'!J33,'7-8 '!J33,'9-12 '!J33,'Special Ed (Simplified)'!I33,'Special Ed (Goal)'!T34)</f>
        <v>323.99397119970934</v>
      </c>
      <c r="D33" s="258">
        <f t="shared" si="0"/>
        <v>1603770.1574385613</v>
      </c>
      <c r="E33" s="220">
        <f t="shared" si="1"/>
        <v>2138360.2099180818</v>
      </c>
      <c r="F33" s="259">
        <f t="shared" si="2"/>
        <v>1336475.1311988011</v>
      </c>
      <c r="G33" s="258">
        <f t="shared" si="3"/>
        <v>496879.77695647499</v>
      </c>
      <c r="H33" s="260">
        <f t="shared" si="4"/>
        <v>51936.141431249998</v>
      </c>
      <c r="I33" s="261">
        <f t="shared" si="6"/>
        <v>1495691.1415707842</v>
      </c>
      <c r="J33" s="262">
        <f t="shared" si="5"/>
        <v>7123112.5585139534</v>
      </c>
    </row>
    <row r="34" spans="1:10" x14ac:dyDescent="0.25">
      <c r="A34" s="30" t="s">
        <v>23</v>
      </c>
      <c r="B34" s="219">
        <v>6691.02</v>
      </c>
      <c r="C34" s="39">
        <f>SUM('K '!L34,'1-3 '!J34,'4-6'!J34,'7-8 '!J34,'9-12 '!J34,'Special Ed (Simplified)'!I34,'Special Ed (Goal)'!T35)</f>
        <v>423.81762826024436</v>
      </c>
      <c r="D34" s="258">
        <f t="shared" si="0"/>
        <v>2097897.2598882094</v>
      </c>
      <c r="E34" s="220">
        <f t="shared" si="1"/>
        <v>2797196.3465176127</v>
      </c>
      <c r="F34" s="259">
        <f t="shared" si="2"/>
        <v>1748247.716573508</v>
      </c>
      <c r="G34" s="258">
        <f t="shared" si="3"/>
        <v>668934.76213698753</v>
      </c>
      <c r="H34" s="260">
        <f t="shared" si="4"/>
        <v>69920.113528125003</v>
      </c>
      <c r="I34" s="261">
        <f t="shared" si="6"/>
        <v>2013605.3919229924</v>
      </c>
      <c r="J34" s="262">
        <f t="shared" si="5"/>
        <v>9395801.5905674361</v>
      </c>
    </row>
    <row r="35" spans="1:10" x14ac:dyDescent="0.25">
      <c r="A35" s="30" t="s">
        <v>24</v>
      </c>
      <c r="B35" s="219">
        <v>710.4</v>
      </c>
      <c r="C35" s="39">
        <f>SUM('K '!L35,'1-3 '!J35,'4-6'!J35,'7-8 '!J35,'9-12 '!J35,'Special Ed (Simplified)'!I35,'Special Ed (Goal)'!T36)</f>
        <v>50.999651942508052</v>
      </c>
      <c r="D35" s="258">
        <f t="shared" si="0"/>
        <v>252448.27711541485</v>
      </c>
      <c r="E35" s="220">
        <f t="shared" si="1"/>
        <v>336597.70282055315</v>
      </c>
      <c r="F35" s="259">
        <f t="shared" si="2"/>
        <v>210373.56426284573</v>
      </c>
      <c r="G35" s="258">
        <f t="shared" si="3"/>
        <v>71022.24399599999</v>
      </c>
      <c r="H35" s="260">
        <f t="shared" si="4"/>
        <v>7423.5689999999986</v>
      </c>
      <c r="I35" s="261">
        <f t="shared" si="6"/>
        <v>213788.82000384002</v>
      </c>
      <c r="J35" s="262">
        <f t="shared" si="5"/>
        <v>1091654.177198654</v>
      </c>
    </row>
    <row r="36" spans="1:10" x14ac:dyDescent="0.25">
      <c r="A36" s="30" t="s">
        <v>25</v>
      </c>
      <c r="B36" s="219">
        <v>2753.54</v>
      </c>
      <c r="C36" s="39">
        <f>SUM('K '!L36,'1-3 '!J36,'4-6'!J36,'7-8 '!J36,'9-12 '!J36,'Special Ed (Simplified)'!I36,'Special Ed (Goal)'!T37)</f>
        <v>191.52168271607982</v>
      </c>
      <c r="D36" s="258">
        <f t="shared" si="0"/>
        <v>948032.32944459515</v>
      </c>
      <c r="E36" s="220">
        <f t="shared" si="1"/>
        <v>1264043.1059261269</v>
      </c>
      <c r="F36" s="259">
        <f t="shared" si="2"/>
        <v>790026.94120382925</v>
      </c>
      <c r="G36" s="258">
        <f t="shared" si="3"/>
        <v>275285.17698866245</v>
      </c>
      <c r="H36" s="260">
        <f t="shared" si="4"/>
        <v>28774.062759374996</v>
      </c>
      <c r="I36" s="261">
        <f t="shared" si="6"/>
        <v>828654.37420238415</v>
      </c>
      <c r="J36" s="262">
        <f t="shared" si="5"/>
        <v>4134815.9905249733</v>
      </c>
    </row>
    <row r="37" spans="1:10" x14ac:dyDescent="0.25">
      <c r="A37" s="30" t="s">
        <v>26</v>
      </c>
      <c r="B37" s="219">
        <v>1253.3399999999999</v>
      </c>
      <c r="C37" s="39">
        <f>SUM('K '!L37,'1-3 '!J37,'4-6'!J37,'7-8 '!J37,'9-12 '!J37,'Special Ed (Simplified)'!I37,'Special Ed (Goal)'!T38)</f>
        <v>79.075226998598168</v>
      </c>
      <c r="D37" s="258">
        <f t="shared" si="0"/>
        <v>391422.37364306091</v>
      </c>
      <c r="E37" s="220">
        <f t="shared" si="1"/>
        <v>521896.49819074792</v>
      </c>
      <c r="F37" s="259">
        <f t="shared" si="2"/>
        <v>326185.31136921747</v>
      </c>
      <c r="G37" s="258">
        <f t="shared" si="3"/>
        <v>125302.67355003748</v>
      </c>
      <c r="H37" s="260">
        <f t="shared" si="4"/>
        <v>13097.207165624997</v>
      </c>
      <c r="I37" s="261">
        <f t="shared" si="6"/>
        <v>377181.98150846409</v>
      </c>
      <c r="J37" s="262">
        <f t="shared" si="5"/>
        <v>1755086.0454271527</v>
      </c>
    </row>
    <row r="38" spans="1:10" x14ac:dyDescent="0.25">
      <c r="A38" s="30" t="s">
        <v>27</v>
      </c>
      <c r="B38" s="219">
        <v>5263.6</v>
      </c>
      <c r="C38" s="39">
        <f>SUM('K '!L38,'1-3 '!J38,'4-6'!J38,'7-8 '!J38,'9-12 '!J38,'Special Ed (Simplified)'!I38,'Special Ed (Goal)'!T39)</f>
        <v>356.3103139110159</v>
      </c>
      <c r="D38" s="258">
        <f t="shared" si="0"/>
        <v>1763736.0538595286</v>
      </c>
      <c r="E38" s="220">
        <f t="shared" si="1"/>
        <v>2351648.0718127051</v>
      </c>
      <c r="F38" s="259">
        <f t="shared" si="2"/>
        <v>1469780.0448829406</v>
      </c>
      <c r="G38" s="258">
        <f t="shared" si="3"/>
        <v>526228.43960774993</v>
      </c>
      <c r="H38" s="260">
        <f t="shared" si="4"/>
        <v>55003.797562499996</v>
      </c>
      <c r="I38" s="261">
        <f t="shared" si="6"/>
        <v>1584035.5193865602</v>
      </c>
      <c r="J38" s="262">
        <f t="shared" si="5"/>
        <v>7750431.9271119833</v>
      </c>
    </row>
    <row r="39" spans="1:10" x14ac:dyDescent="0.25">
      <c r="A39" s="30" t="s">
        <v>28</v>
      </c>
      <c r="B39" s="219">
        <v>9606.7099999999991</v>
      </c>
      <c r="C39" s="39">
        <f>SUM('K '!L39,'1-3 '!J39,'4-6'!J39,'7-8 '!J39,'9-12 '!J39,'Special Ed (Simplified)'!I39,'Special Ed (Goal)'!T40)</f>
        <v>628.57094535922454</v>
      </c>
      <c r="D39" s="258">
        <f t="shared" si="0"/>
        <v>3111426.1795281614</v>
      </c>
      <c r="E39" s="220">
        <f t="shared" si="1"/>
        <v>4148568.239370882</v>
      </c>
      <c r="F39" s="259">
        <f t="shared" si="2"/>
        <v>2592855.1496068011</v>
      </c>
      <c r="G39" s="258">
        <f t="shared" si="3"/>
        <v>960430.88628774357</v>
      </c>
      <c r="H39" s="260">
        <f t="shared" si="4"/>
        <v>100388.61845156249</v>
      </c>
      <c r="I39" s="261">
        <f t="shared" si="6"/>
        <v>2891057.4254210158</v>
      </c>
      <c r="J39" s="262">
        <f t="shared" si="5"/>
        <v>13804726.498666165</v>
      </c>
    </row>
    <row r="40" spans="1:10" x14ac:dyDescent="0.25">
      <c r="A40" s="30" t="s">
        <v>29</v>
      </c>
      <c r="B40" s="219">
        <v>1528.03</v>
      </c>
      <c r="C40" s="39">
        <f>SUM('K '!L40,'1-3 '!J40,'4-6'!J40,'7-8 '!J40,'9-12 '!J40,'Special Ed (Simplified)'!I40,'Special Ed (Goal)'!T41)</f>
        <v>96.869535627030857</v>
      </c>
      <c r="D40" s="258">
        <f t="shared" si="0"/>
        <v>479504.20135380275</v>
      </c>
      <c r="E40" s="220">
        <f t="shared" si="1"/>
        <v>639338.93513840367</v>
      </c>
      <c r="F40" s="259">
        <f t="shared" si="2"/>
        <v>399586.83446150227</v>
      </c>
      <c r="G40" s="258">
        <f t="shared" si="3"/>
        <v>152764.80784516875</v>
      </c>
      <c r="H40" s="260">
        <f t="shared" si="4"/>
        <v>15967.674745312499</v>
      </c>
      <c r="I40" s="261">
        <f t="shared" si="6"/>
        <v>459847.5937928881</v>
      </c>
      <c r="J40" s="262">
        <f t="shared" si="5"/>
        <v>2147010.047337078</v>
      </c>
    </row>
    <row r="41" spans="1:10" x14ac:dyDescent="0.25">
      <c r="A41" s="30" t="s">
        <v>30</v>
      </c>
      <c r="B41" s="219">
        <v>3982.19</v>
      </c>
      <c r="C41" s="39">
        <f>SUM('K '!L41,'1-3 '!J41,'4-6'!J41,'7-8 '!J41,'9-12 '!J41,'Special Ed (Simplified)'!I41,'Special Ed (Goal)'!T42)</f>
        <v>254.62900691202441</v>
      </c>
      <c r="D41" s="258">
        <f t="shared" si="0"/>
        <v>1260413.5842145209</v>
      </c>
      <c r="E41" s="220">
        <f t="shared" si="1"/>
        <v>1680551.445619361</v>
      </c>
      <c r="F41" s="259">
        <f t="shared" si="2"/>
        <v>1050344.6535121007</v>
      </c>
      <c r="G41" s="258">
        <f t="shared" si="3"/>
        <v>398119.46764981875</v>
      </c>
      <c r="H41" s="260">
        <f t="shared" si="4"/>
        <v>41613.263282812499</v>
      </c>
      <c r="I41" s="261">
        <f t="shared" si="6"/>
        <v>1198406.1108264243</v>
      </c>
      <c r="J41" s="262">
        <f t="shared" si="5"/>
        <v>5629448.5251050377</v>
      </c>
    </row>
    <row r="42" spans="1:10" x14ac:dyDescent="0.25">
      <c r="A42" s="30" t="s">
        <v>31</v>
      </c>
      <c r="B42" s="219">
        <v>25440.37</v>
      </c>
      <c r="C42" s="39">
        <f>SUM('K '!L42,'1-3 '!J42,'4-6'!J42,'7-8 '!J42,'9-12 '!J42,'Special Ed (Simplified)'!I42,'Special Ed (Goal)'!T43)</f>
        <v>1527.730696952847</v>
      </c>
      <c r="D42" s="258">
        <f t="shared" si="0"/>
        <v>7562266.9499165928</v>
      </c>
      <c r="E42" s="220">
        <f t="shared" si="1"/>
        <v>10083022.59988879</v>
      </c>
      <c r="F42" s="259">
        <f t="shared" si="2"/>
        <v>6301889.1249304935</v>
      </c>
      <c r="G42" s="258">
        <f t="shared" si="3"/>
        <v>2543401.1338520809</v>
      </c>
      <c r="H42" s="260">
        <f t="shared" si="4"/>
        <v>265847.89144218748</v>
      </c>
      <c r="I42" s="261">
        <f t="shared" si="6"/>
        <v>7656062.3349677529</v>
      </c>
      <c r="J42" s="262">
        <f t="shared" si="5"/>
        <v>34412490.034997895</v>
      </c>
    </row>
    <row r="43" spans="1:10" x14ac:dyDescent="0.25">
      <c r="A43" s="30" t="s">
        <v>32</v>
      </c>
      <c r="B43" s="219">
        <v>2145.29</v>
      </c>
      <c r="C43" s="39">
        <f>SUM('K '!L43,'1-3 '!J43,'4-6'!J43,'7-8 '!J43,'9-12 '!J43,'Special Ed (Simplified)'!I43,'Special Ed (Goal)'!T44)</f>
        <v>146.11211686524993</v>
      </c>
      <c r="D43" s="258">
        <f t="shared" si="0"/>
        <v>723254.97848298715</v>
      </c>
      <c r="E43" s="220">
        <f t="shared" si="1"/>
        <v>964339.97131064953</v>
      </c>
      <c r="F43" s="259">
        <f t="shared" si="2"/>
        <v>602712.48206915602</v>
      </c>
      <c r="G43" s="258">
        <f t="shared" si="3"/>
        <v>214475.37981725624</v>
      </c>
      <c r="H43" s="260">
        <f t="shared" si="4"/>
        <v>22417.945298437498</v>
      </c>
      <c r="I43" s="261">
        <f t="shared" si="6"/>
        <v>645606.72531818412</v>
      </c>
      <c r="J43" s="262">
        <f t="shared" si="5"/>
        <v>3172807.4822966708</v>
      </c>
    </row>
    <row r="44" spans="1:10" x14ac:dyDescent="0.25">
      <c r="A44" s="30" t="s">
        <v>33</v>
      </c>
      <c r="B44" s="219">
        <v>3224.83</v>
      </c>
      <c r="C44" s="39">
        <f>SUM('K '!L44,'1-3 '!J44,'4-6'!J44,'7-8 '!J44,'9-12 '!J44,'Special Ed (Simplified)'!I44,'Special Ed (Goal)'!T45)</f>
        <v>201.0773132284817</v>
      </c>
      <c r="D44" s="258">
        <f t="shared" si="0"/>
        <v>995332.70048098441</v>
      </c>
      <c r="E44" s="220">
        <f t="shared" si="1"/>
        <v>1327110.2673079793</v>
      </c>
      <c r="F44" s="259">
        <f t="shared" si="2"/>
        <v>829443.91706748703</v>
      </c>
      <c r="G44" s="258">
        <f t="shared" si="3"/>
        <v>322402.39738966874</v>
      </c>
      <c r="H44" s="260">
        <f t="shared" si="4"/>
        <v>33698.969620312499</v>
      </c>
      <c r="I44" s="261">
        <f t="shared" si="6"/>
        <v>970485.07941016811</v>
      </c>
      <c r="J44" s="262">
        <f t="shared" si="5"/>
        <v>4478473.3312766002</v>
      </c>
    </row>
    <row r="45" spans="1:10" x14ac:dyDescent="0.25">
      <c r="A45" s="30" t="s">
        <v>34</v>
      </c>
      <c r="B45" s="219">
        <v>2373.3200000000002</v>
      </c>
      <c r="C45" s="39">
        <f>SUM('K '!L45,'1-3 '!J45,'4-6'!J45,'7-8 '!J45,'9-12 '!J45,'Special Ed (Simplified)'!I45,'Special Ed (Goal)'!T46)</f>
        <v>161.6371638829703</v>
      </c>
      <c r="D45" s="258">
        <f t="shared" si="0"/>
        <v>800103.96122070297</v>
      </c>
      <c r="E45" s="220">
        <f t="shared" si="1"/>
        <v>1066805.281627604</v>
      </c>
      <c r="F45" s="259">
        <f t="shared" si="2"/>
        <v>666753.3010172525</v>
      </c>
      <c r="G45" s="258">
        <f t="shared" si="3"/>
        <v>237272.68034992501</v>
      </c>
      <c r="H45" s="260">
        <f t="shared" si="4"/>
        <v>24800.823168750001</v>
      </c>
      <c r="I45" s="261">
        <f t="shared" si="6"/>
        <v>714230.40863107226</v>
      </c>
      <c r="J45" s="262">
        <f t="shared" si="5"/>
        <v>3509966.456015307</v>
      </c>
    </row>
    <row r="46" spans="1:10" x14ac:dyDescent="0.25">
      <c r="A46" s="30" t="s">
        <v>35</v>
      </c>
      <c r="B46" s="219">
        <v>15667.43</v>
      </c>
      <c r="C46" s="39">
        <f>SUM('K '!L46,'1-3 '!J46,'4-6'!J46,'7-8 '!J46,'9-12 '!J46,'Special Ed (Simplified)'!I46,'Special Ed (Goal)'!T47)</f>
        <v>1012.3163260333185</v>
      </c>
      <c r="D46" s="258">
        <f t="shared" si="0"/>
        <v>5010965.8138649268</v>
      </c>
      <c r="E46" s="220">
        <f t="shared" si="1"/>
        <v>6681287.7518199021</v>
      </c>
      <c r="F46" s="259">
        <f t="shared" si="2"/>
        <v>4175804.8448874392</v>
      </c>
      <c r="G46" s="258">
        <f t="shared" si="3"/>
        <v>1566351.4023792937</v>
      </c>
      <c r="H46" s="260">
        <f t="shared" si="4"/>
        <v>163722.19546406248</v>
      </c>
      <c r="I46" s="261">
        <f t="shared" si="6"/>
        <v>4714979.4090551287</v>
      </c>
      <c r="J46" s="262">
        <f t="shared" si="5"/>
        <v>22313111.417470753</v>
      </c>
    </row>
    <row r="47" spans="1:10" x14ac:dyDescent="0.25">
      <c r="A47" s="30" t="s">
        <v>36</v>
      </c>
      <c r="B47" s="219">
        <v>1091.3900000000001</v>
      </c>
      <c r="C47" s="39">
        <f>SUM('K '!L47,'1-3 '!J47,'4-6'!J47,'7-8 '!J47,'9-12 '!J47,'Special Ed (Simplified)'!I47,'Special Ed (Goal)'!T48)</f>
        <v>72.559771072292165</v>
      </c>
      <c r="D47" s="258">
        <f t="shared" si="0"/>
        <v>359170.86680784624</v>
      </c>
      <c r="E47" s="220">
        <f t="shared" si="1"/>
        <v>478894.4890771283</v>
      </c>
      <c r="F47" s="259">
        <f t="shared" si="2"/>
        <v>299309.05567320518</v>
      </c>
      <c r="G47" s="258">
        <f t="shared" si="3"/>
        <v>109111.72138906876</v>
      </c>
      <c r="H47" s="260">
        <f t="shared" si="4"/>
        <v>11404.854970312501</v>
      </c>
      <c r="I47" s="261">
        <f t="shared" si="6"/>
        <v>328444.51050674409</v>
      </c>
      <c r="J47" s="262">
        <f t="shared" si="5"/>
        <v>1586335.4984243049</v>
      </c>
    </row>
    <row r="48" spans="1:10" x14ac:dyDescent="0.25">
      <c r="A48" s="30" t="s">
        <v>37</v>
      </c>
      <c r="B48" s="219">
        <v>3269.06</v>
      </c>
      <c r="C48" s="39">
        <f>SUM('K '!L48,'1-3 '!J48,'4-6'!J48,'7-8 '!J48,'9-12 '!J48,'Special Ed (Simplified)'!I48,'Special Ed (Goal)'!T49)</f>
        <v>229.38585763442126</v>
      </c>
      <c r="D48" s="258">
        <f t="shared" si="0"/>
        <v>1135459.9952903853</v>
      </c>
      <c r="E48" s="220">
        <f t="shared" si="1"/>
        <v>1513946.6603871803</v>
      </c>
      <c r="F48" s="259">
        <f t="shared" si="2"/>
        <v>946216.66274198773</v>
      </c>
      <c r="G48" s="258">
        <f t="shared" si="3"/>
        <v>326824.2918884625</v>
      </c>
      <c r="H48" s="260">
        <f t="shared" si="4"/>
        <v>34161.166209374998</v>
      </c>
      <c r="I48" s="261">
        <f t="shared" si="6"/>
        <v>983795.7206105761</v>
      </c>
      <c r="J48" s="262">
        <f t="shared" si="5"/>
        <v>4940404.497127967</v>
      </c>
    </row>
    <row r="49" spans="1:10" x14ac:dyDescent="0.25">
      <c r="A49" s="30" t="s">
        <v>38</v>
      </c>
      <c r="B49" s="219">
        <v>656.05</v>
      </c>
      <c r="C49" s="39">
        <f>SUM('K '!L49,'1-3 '!J49,'4-6'!J49,'7-8 '!J49,'9-12 '!J49,'Special Ed (Simplified)'!I49,'Special Ed (Goal)'!T50)</f>
        <v>47.00309232669801</v>
      </c>
      <c r="D49" s="258">
        <f t="shared" si="0"/>
        <v>232665.30701715514</v>
      </c>
      <c r="E49" s="220">
        <f t="shared" si="1"/>
        <v>310220.40935620689</v>
      </c>
      <c r="F49" s="259">
        <f t="shared" si="2"/>
        <v>193887.75584762928</v>
      </c>
      <c r="G49" s="258">
        <f t="shared" si="3"/>
        <v>65588.602440281233</v>
      </c>
      <c r="H49" s="260">
        <f t="shared" si="4"/>
        <v>6855.6199921874986</v>
      </c>
      <c r="I49" s="261">
        <f t="shared" si="6"/>
        <v>197432.65113108003</v>
      </c>
      <c r="J49" s="262">
        <f t="shared" si="5"/>
        <v>1006650.3457845399</v>
      </c>
    </row>
    <row r="50" spans="1:10" x14ac:dyDescent="0.25">
      <c r="A50" s="30" t="s">
        <v>39</v>
      </c>
      <c r="B50" s="219">
        <v>1181.8699999999999</v>
      </c>
      <c r="C50" s="39">
        <f>SUM('K '!L50,'1-3 '!J50,'4-6'!J50,'7-8 '!J50,'9-12 '!J50,'Special Ed (Simplified)'!I50,'Special Ed (Goal)'!T51)</f>
        <v>80.357223320349661</v>
      </c>
      <c r="D50" s="258">
        <f t="shared" si="0"/>
        <v>397768.2554357308</v>
      </c>
      <c r="E50" s="220">
        <f t="shared" si="1"/>
        <v>530357.67391430773</v>
      </c>
      <c r="F50" s="259">
        <f t="shared" si="2"/>
        <v>331473.54619644233</v>
      </c>
      <c r="G50" s="258">
        <f t="shared" si="3"/>
        <v>118157.45989801873</v>
      </c>
      <c r="H50" s="260">
        <f t="shared" si="4"/>
        <v>12350.356832812498</v>
      </c>
      <c r="I50" s="261">
        <f t="shared" si="6"/>
        <v>355673.69467615202</v>
      </c>
      <c r="J50" s="262">
        <f t="shared" si="5"/>
        <v>1745780.9869534641</v>
      </c>
    </row>
    <row r="51" spans="1:10" x14ac:dyDescent="0.25">
      <c r="A51" s="30" t="s">
        <v>40</v>
      </c>
      <c r="B51" s="219">
        <v>8929.7900000000009</v>
      </c>
      <c r="C51" s="39">
        <f>SUM('K '!L51,'1-3 '!J51,'4-6'!J51,'7-8 '!J51,'9-12 '!J51,'Special Ed (Simplified)'!I51,'Special Ed (Goal)'!T52)</f>
        <v>578.11903723727858</v>
      </c>
      <c r="D51" s="258">
        <f t="shared" si="0"/>
        <v>2861689.2343245288</v>
      </c>
      <c r="E51" s="220">
        <f t="shared" si="1"/>
        <v>3815585.6457660384</v>
      </c>
      <c r="F51" s="259">
        <f t="shared" si="2"/>
        <v>2384741.028603774</v>
      </c>
      <c r="G51" s="258">
        <f t="shared" si="3"/>
        <v>892755.80548006878</v>
      </c>
      <c r="H51" s="260">
        <f t="shared" si="4"/>
        <v>93314.910220312493</v>
      </c>
      <c r="I51" s="261">
        <f t="shared" si="6"/>
        <v>2687344.1258193846</v>
      </c>
      <c r="J51" s="262">
        <f t="shared" si="5"/>
        <v>12735430.750214107</v>
      </c>
    </row>
    <row r="52" spans="1:10" x14ac:dyDescent="0.25">
      <c r="A52" s="30" t="s">
        <v>41</v>
      </c>
      <c r="B52" s="219">
        <v>74161.66</v>
      </c>
      <c r="C52" s="39">
        <f>SUM('K '!L52,'1-3 '!J52,'4-6'!J52,'7-8 '!J52,'9-12 '!J52,'Special Ed (Simplified)'!I52,'Special Ed (Goal)'!T53)</f>
        <v>4623.1873666764677</v>
      </c>
      <c r="D52" s="258">
        <f t="shared" si="0"/>
        <v>22884777.465048514</v>
      </c>
      <c r="E52" s="220">
        <f t="shared" si="1"/>
        <v>30513036.620064687</v>
      </c>
      <c r="F52" s="259">
        <f t="shared" si="2"/>
        <v>19070647.88754043</v>
      </c>
      <c r="G52" s="258">
        <f t="shared" si="3"/>
        <v>7414312.3756593373</v>
      </c>
      <c r="H52" s="260">
        <f t="shared" si="4"/>
        <v>774977.75924062496</v>
      </c>
      <c r="I52" s="261">
        <f t="shared" si="6"/>
        <v>22318318.948375542</v>
      </c>
      <c r="J52" s="262">
        <f t="shared" si="5"/>
        <v>102976071.05592912</v>
      </c>
    </row>
    <row r="53" spans="1:10" x14ac:dyDescent="0.25">
      <c r="A53" s="30" t="s">
        <v>42</v>
      </c>
      <c r="B53" s="219">
        <v>8515.0300000000007</v>
      </c>
      <c r="C53" s="39">
        <f>SUM('K '!L53,'1-3 '!J53,'4-6'!J53,'7-8 '!J53,'9-12 '!J53,'Special Ed (Simplified)'!I53,'Special Ed (Goal)'!T54)</f>
        <v>538.57928580357475</v>
      </c>
      <c r="D53" s="258">
        <f t="shared" si="0"/>
        <v>2665967.4647276951</v>
      </c>
      <c r="E53" s="220">
        <f t="shared" si="1"/>
        <v>3554623.2863035933</v>
      </c>
      <c r="F53" s="259">
        <f t="shared" si="2"/>
        <v>2221639.5539397458</v>
      </c>
      <c r="G53" s="258">
        <f t="shared" si="3"/>
        <v>851290.17214704375</v>
      </c>
      <c r="H53" s="260">
        <f t="shared" si="4"/>
        <v>88980.733026562506</v>
      </c>
      <c r="I53" s="261">
        <f t="shared" si="6"/>
        <v>2562525.6418880885</v>
      </c>
      <c r="J53" s="262">
        <f t="shared" si="5"/>
        <v>11945026.852032728</v>
      </c>
    </row>
    <row r="54" spans="1:10" x14ac:dyDescent="0.25">
      <c r="A54" s="30" t="s">
        <v>43</v>
      </c>
      <c r="B54" s="219">
        <v>898.58</v>
      </c>
      <c r="C54" s="39">
        <f>SUM('K '!L54,'1-3 '!J54,'4-6'!J54,'7-8 '!J54,'9-12 '!J54,'Special Ed (Simplified)'!I54,'Special Ed (Goal)'!T55)</f>
        <v>59.831890812739687</v>
      </c>
      <c r="D54" s="258">
        <f t="shared" si="0"/>
        <v>296167.85952306143</v>
      </c>
      <c r="E54" s="220">
        <f t="shared" si="1"/>
        <v>394890.47936408193</v>
      </c>
      <c r="F54" s="259">
        <f t="shared" si="2"/>
        <v>246806.54960255121</v>
      </c>
      <c r="G54" s="258">
        <f t="shared" si="3"/>
        <v>89835.540554512496</v>
      </c>
      <c r="H54" s="260">
        <f t="shared" si="4"/>
        <v>9390.0205968749997</v>
      </c>
      <c r="I54" s="261">
        <f t="shared" si="6"/>
        <v>270419.98575316806</v>
      </c>
      <c r="J54" s="262">
        <f t="shared" si="5"/>
        <v>1307510.4353942501</v>
      </c>
    </row>
    <row r="55" spans="1:10" x14ac:dyDescent="0.25">
      <c r="A55" s="30" t="s">
        <v>44</v>
      </c>
      <c r="B55" s="219">
        <v>1516.32</v>
      </c>
      <c r="C55" s="39">
        <f>SUM('K '!L55,'1-3 '!J55,'4-6'!J55,'7-8 '!J55,'9-12 '!J55,'Special Ed (Simplified)'!I55,'Special Ed (Goal)'!T56)</f>
        <v>94.092821757973198</v>
      </c>
      <c r="D55" s="258">
        <f t="shared" si="0"/>
        <v>465759.46770196734</v>
      </c>
      <c r="E55" s="220">
        <f t="shared" si="1"/>
        <v>621012.62360262312</v>
      </c>
      <c r="F55" s="259">
        <f t="shared" si="2"/>
        <v>388132.88975163945</v>
      </c>
      <c r="G55" s="258">
        <f t="shared" si="3"/>
        <v>151594.10052929999</v>
      </c>
      <c r="H55" s="260">
        <f t="shared" si="4"/>
        <v>15845.307074999999</v>
      </c>
      <c r="I55" s="261">
        <f t="shared" si="6"/>
        <v>456323.56918387202</v>
      </c>
      <c r="J55" s="262">
        <f t="shared" si="5"/>
        <v>2098667.9578444017</v>
      </c>
    </row>
    <row r="56" spans="1:10" x14ac:dyDescent="0.25">
      <c r="A56" s="30" t="s">
        <v>45</v>
      </c>
      <c r="B56" s="219">
        <v>2087.65</v>
      </c>
      <c r="C56" s="39">
        <f>SUM('K '!L56,'1-3 '!J56,'4-6'!J56,'7-8 '!J56,'9-12 '!J56,'Special Ed (Simplified)'!I56,'Special Ed (Goal)'!T57)</f>
        <v>132.80214293607324</v>
      </c>
      <c r="D56" s="258">
        <f t="shared" si="0"/>
        <v>657370.60753356258</v>
      </c>
      <c r="E56" s="220">
        <f t="shared" si="1"/>
        <v>876494.14337808336</v>
      </c>
      <c r="F56" s="259">
        <f t="shared" si="2"/>
        <v>547808.83961130213</v>
      </c>
      <c r="G56" s="258">
        <f t="shared" si="3"/>
        <v>208712.82049303126</v>
      </c>
      <c r="H56" s="260">
        <f t="shared" si="4"/>
        <v>21815.616304687501</v>
      </c>
      <c r="I56" s="261">
        <f t="shared" si="6"/>
        <v>628260.45901044016</v>
      </c>
      <c r="J56" s="262">
        <f t="shared" si="5"/>
        <v>2940462.4863311071</v>
      </c>
    </row>
    <row r="57" spans="1:10" x14ac:dyDescent="0.25">
      <c r="A57" s="30" t="s">
        <v>46</v>
      </c>
      <c r="B57" s="219">
        <v>662.1</v>
      </c>
      <c r="C57" s="39">
        <f>SUM('K '!L57,'1-3 '!J57,'4-6'!J57,'7-8 '!J57,'9-12 '!J57,'Special Ed (Simplified)'!I57,'Special Ed (Goal)'!T58)</f>
        <v>46.417643808441795</v>
      </c>
      <c r="D57" s="258">
        <f t="shared" si="0"/>
        <v>229767.33685178688</v>
      </c>
      <c r="E57" s="220">
        <f t="shared" si="1"/>
        <v>306356.44913571584</v>
      </c>
      <c r="F57" s="259">
        <f t="shared" si="2"/>
        <v>191472.7807098224</v>
      </c>
      <c r="G57" s="258">
        <f t="shared" si="3"/>
        <v>66193.451224312506</v>
      </c>
      <c r="H57" s="260">
        <f t="shared" si="4"/>
        <v>6918.8415468750009</v>
      </c>
      <c r="I57" s="261">
        <f t="shared" si="6"/>
        <v>199253.34702216004</v>
      </c>
      <c r="J57" s="262">
        <f t="shared" si="5"/>
        <v>999962.20649067266</v>
      </c>
    </row>
    <row r="58" spans="1:10" x14ac:dyDescent="0.25">
      <c r="A58" s="30" t="s">
        <v>47</v>
      </c>
      <c r="B58" s="219">
        <v>43529.94</v>
      </c>
      <c r="C58" s="39">
        <f>SUM('K '!L58,'1-3 '!J58,'4-6'!J58,'7-8 '!J58,'9-12 '!J58,'Special Ed (Simplified)'!I58,'Special Ed (Goal)'!T59)</f>
        <v>2762.3715365825342</v>
      </c>
      <c r="D58" s="258">
        <f t="shared" si="0"/>
        <v>13673739.106083544</v>
      </c>
      <c r="E58" s="220">
        <f t="shared" si="1"/>
        <v>18231652.141444724</v>
      </c>
      <c r="F58" s="259">
        <f t="shared" si="2"/>
        <v>11394782.588402953</v>
      </c>
      <c r="G58" s="258">
        <f t="shared" si="3"/>
        <v>4351905.9963559126</v>
      </c>
      <c r="H58" s="260">
        <f t="shared" si="4"/>
        <v>454881.07144687505</v>
      </c>
      <c r="I58" s="261">
        <f t="shared" si="6"/>
        <v>13099964.115199827</v>
      </c>
      <c r="J58" s="262">
        <f t="shared" si="5"/>
        <v>61206925.01893384</v>
      </c>
    </row>
    <row r="59" spans="1:10" x14ac:dyDescent="0.25">
      <c r="A59" s="30" t="s">
        <v>48</v>
      </c>
      <c r="B59" s="219">
        <v>2404.8000000000002</v>
      </c>
      <c r="C59" s="39">
        <f>SUM('K '!L59,'1-3 '!J59,'4-6'!J59,'7-8 '!J59,'9-12 '!J59,'Special Ed (Simplified)'!I59,'Special Ed (Goal)'!T60)</f>
        <v>157.47193263687396</v>
      </c>
      <c r="D59" s="258">
        <f t="shared" si="0"/>
        <v>779486.06655252608</v>
      </c>
      <c r="E59" s="220">
        <f t="shared" si="1"/>
        <v>1039314.7554033682</v>
      </c>
      <c r="F59" s="259">
        <f t="shared" si="2"/>
        <v>649571.72212710511</v>
      </c>
      <c r="G59" s="258">
        <f t="shared" si="3"/>
        <v>240419.89352700001</v>
      </c>
      <c r="H59" s="260">
        <f t="shared" si="4"/>
        <v>25129.784250000001</v>
      </c>
      <c r="I59" s="261">
        <f t="shared" si="6"/>
        <v>723704.0460940802</v>
      </c>
      <c r="J59" s="262">
        <f t="shared" si="5"/>
        <v>3457626.2679540794</v>
      </c>
    </row>
    <row r="60" spans="1:10" x14ac:dyDescent="0.25">
      <c r="A60" s="30" t="s">
        <v>49</v>
      </c>
      <c r="B60" s="219">
        <v>10525.82</v>
      </c>
      <c r="C60" s="39">
        <f>SUM('K '!L60,'1-3 '!J60,'4-6'!J60,'7-8 '!J60,'9-12 '!J60,'Special Ed (Simplified)'!I60,'Special Ed (Goal)'!T61)</f>
        <v>658.74124712308719</v>
      </c>
      <c r="D60" s="258">
        <f t="shared" si="0"/>
        <v>3260769.1732592816</v>
      </c>
      <c r="E60" s="220">
        <f t="shared" si="1"/>
        <v>4347692.2310123751</v>
      </c>
      <c r="F60" s="259">
        <f t="shared" si="2"/>
        <v>2717307.6443827348</v>
      </c>
      <c r="G60" s="258">
        <f t="shared" si="3"/>
        <v>1052318.9137077373</v>
      </c>
      <c r="H60" s="260">
        <f t="shared" si="4"/>
        <v>109993.17434062499</v>
      </c>
      <c r="I60" s="261">
        <f t="shared" si="6"/>
        <v>3167655.7395450724</v>
      </c>
      <c r="J60" s="262">
        <f t="shared" si="5"/>
        <v>14655736.876247827</v>
      </c>
    </row>
    <row r="61" spans="1:10" x14ac:dyDescent="0.25">
      <c r="A61" s="30" t="s">
        <v>50</v>
      </c>
      <c r="B61" s="219">
        <v>13258.42</v>
      </c>
      <c r="C61" s="39">
        <f>SUM('K '!L61,'1-3 '!J61,'4-6'!J61,'7-8 '!J61,'9-12 '!J61,'Special Ed (Simplified)'!I61,'Special Ed (Goal)'!T62)</f>
        <v>823.22719537790726</v>
      </c>
      <c r="D61" s="258">
        <f t="shared" si="0"/>
        <v>4074974.6171206408</v>
      </c>
      <c r="E61" s="220">
        <f t="shared" si="1"/>
        <v>5433299.4894941878</v>
      </c>
      <c r="F61" s="259">
        <f t="shared" si="2"/>
        <v>3395812.1809338676</v>
      </c>
      <c r="G61" s="258">
        <f t="shared" si="3"/>
        <v>1325510.6140786125</v>
      </c>
      <c r="H61" s="260">
        <f t="shared" si="4"/>
        <v>138548.417371875</v>
      </c>
      <c r="I61" s="261">
        <f t="shared" si="6"/>
        <v>3990008.3993740324</v>
      </c>
      <c r="J61" s="262">
        <f t="shared" si="5"/>
        <v>18358153.718373217</v>
      </c>
    </row>
    <row r="62" spans="1:10" x14ac:dyDescent="0.25">
      <c r="A62" s="30" t="s">
        <v>51</v>
      </c>
      <c r="B62" s="219">
        <v>5388.16</v>
      </c>
      <c r="C62" s="39">
        <f>SUM('K '!L62,'1-3 '!J62,'4-6'!J62,'7-8 '!J62,'9-12 '!J62,'Special Ed (Simplified)'!I62,'Special Ed (Goal)'!T63)</f>
        <v>354.41748622057878</v>
      </c>
      <c r="D62" s="258">
        <f t="shared" si="0"/>
        <v>1754366.556791865</v>
      </c>
      <c r="E62" s="220">
        <f t="shared" si="1"/>
        <v>2339155.4090558197</v>
      </c>
      <c r="F62" s="259">
        <f t="shared" si="2"/>
        <v>1461972.1306598876</v>
      </c>
      <c r="G62" s="258">
        <f t="shared" si="3"/>
        <v>538681.32630840002</v>
      </c>
      <c r="H62" s="260">
        <f t="shared" si="4"/>
        <v>56305.430099999998</v>
      </c>
      <c r="I62" s="261">
        <f t="shared" si="6"/>
        <v>1621520.7888399363</v>
      </c>
      <c r="J62" s="262">
        <f t="shared" si="5"/>
        <v>7772001.6417559087</v>
      </c>
    </row>
    <row r="63" spans="1:10" x14ac:dyDescent="0.25">
      <c r="A63" s="30" t="s">
        <v>52</v>
      </c>
      <c r="B63" s="219">
        <v>2979.52</v>
      </c>
      <c r="C63" s="39">
        <f>SUM('K '!L63,'1-3 '!J63,'4-6'!J63,'7-8 '!J63,'9-12 '!J63,'Special Ed (Simplified)'!I63,'Special Ed (Goal)'!T64)</f>
        <v>204.268289794861</v>
      </c>
      <c r="D63" s="258">
        <f t="shared" si="0"/>
        <v>1011128.034484562</v>
      </c>
      <c r="E63" s="220">
        <f t="shared" si="1"/>
        <v>1348170.7126460827</v>
      </c>
      <c r="F63" s="259">
        <f t="shared" si="2"/>
        <v>842606.69540380163</v>
      </c>
      <c r="G63" s="258">
        <f t="shared" si="3"/>
        <v>297877.52875979996</v>
      </c>
      <c r="H63" s="260">
        <f t="shared" si="4"/>
        <v>31135.51845</v>
      </c>
      <c r="I63" s="261">
        <f t="shared" si="6"/>
        <v>896661.12750259216</v>
      </c>
      <c r="J63" s="262">
        <f t="shared" si="5"/>
        <v>4427579.6172468383</v>
      </c>
    </row>
    <row r="64" spans="1:10" x14ac:dyDescent="0.25">
      <c r="A64" s="30" t="s">
        <v>53</v>
      </c>
      <c r="B64" s="219">
        <v>1729.85</v>
      </c>
      <c r="C64" s="39">
        <f>SUM('K '!L64,'1-3 '!J64,'4-6'!J64,'7-8 '!J64,'9-12 '!J64,'Special Ed (Simplified)'!I64,'Special Ed (Goal)'!T65)</f>
        <v>116.09531896309257</v>
      </c>
      <c r="D64" s="258">
        <f t="shared" si="0"/>
        <v>574671.82886730821</v>
      </c>
      <c r="E64" s="220">
        <f t="shared" si="1"/>
        <v>766229.10515641095</v>
      </c>
      <c r="F64" s="259">
        <f t="shared" si="2"/>
        <v>478893.19072275684</v>
      </c>
      <c r="G64" s="258">
        <f t="shared" si="3"/>
        <v>172941.76348040623</v>
      </c>
      <c r="H64" s="260">
        <f t="shared" si="4"/>
        <v>18076.662210937498</v>
      </c>
      <c r="I64" s="261">
        <f t="shared" si="6"/>
        <v>520583.60118756007</v>
      </c>
      <c r="J64" s="262">
        <f t="shared" si="5"/>
        <v>2531396.1516253799</v>
      </c>
    </row>
    <row r="65" spans="1:10" x14ac:dyDescent="0.25">
      <c r="A65" s="30" t="s">
        <v>54</v>
      </c>
      <c r="B65" s="219">
        <v>25998.85</v>
      </c>
      <c r="C65" s="39">
        <f>SUM('K '!L65,'1-3 '!J65,'4-6'!J65,'7-8 '!J65,'9-12 '!J65,'Special Ed (Simplified)'!I65,'Special Ed (Goal)'!T66)</f>
        <v>1555.4353164684669</v>
      </c>
      <c r="D65" s="258">
        <f t="shared" si="0"/>
        <v>7699404.8165189112</v>
      </c>
      <c r="E65" s="220">
        <f t="shared" si="1"/>
        <v>10265873.088691881</v>
      </c>
      <c r="F65" s="259">
        <f t="shared" si="2"/>
        <v>6416170.6804324258</v>
      </c>
      <c r="G65" s="258">
        <f t="shared" si="3"/>
        <v>2599235.1749935308</v>
      </c>
      <c r="H65" s="260">
        <f t="shared" si="4"/>
        <v>271683.92017968744</v>
      </c>
      <c r="I65" s="261">
        <f t="shared" si="6"/>
        <v>7824132.126909961</v>
      </c>
      <c r="J65" s="262">
        <f t="shared" si="5"/>
        <v>35076499.807726398</v>
      </c>
    </row>
    <row r="66" spans="1:10" x14ac:dyDescent="0.25">
      <c r="A66" s="30" t="s">
        <v>55</v>
      </c>
      <c r="B66" s="219">
        <v>8632.56</v>
      </c>
      <c r="C66" s="39">
        <f>SUM('K '!L66,'1-3 '!J66,'4-6'!J66,'7-8 '!J66,'9-12 '!J66,'Special Ed (Simplified)'!I66,'Special Ed (Goal)'!T67)</f>
        <v>570.37431372194874</v>
      </c>
      <c r="D66" s="258">
        <f t="shared" si="0"/>
        <v>2823352.8529236461</v>
      </c>
      <c r="E66" s="220">
        <f t="shared" si="1"/>
        <v>3764470.4705648618</v>
      </c>
      <c r="F66" s="259">
        <f t="shared" si="2"/>
        <v>2352794.0441030385</v>
      </c>
      <c r="G66" s="258">
        <f t="shared" si="3"/>
        <v>863040.23455814994</v>
      </c>
      <c r="H66" s="260">
        <f t="shared" si="4"/>
        <v>90208.903162499992</v>
      </c>
      <c r="I66" s="261">
        <f t="shared" si="6"/>
        <v>2597895.2928101765</v>
      </c>
      <c r="J66" s="262">
        <f t="shared" si="5"/>
        <v>12491761.798122372</v>
      </c>
    </row>
    <row r="67" spans="1:10" x14ac:dyDescent="0.25">
      <c r="A67" s="30" t="s">
        <v>56</v>
      </c>
      <c r="B67" s="219">
        <v>1939.18</v>
      </c>
      <c r="C67" s="39">
        <f>SUM('K '!L67,'1-3 '!J67,'4-6'!J67,'7-8 '!J67,'9-12 '!J67,'Special Ed (Simplified)'!I67,'Special Ed (Goal)'!T68)</f>
        <v>128.21556587159526</v>
      </c>
      <c r="D67" s="258">
        <f t="shared" si="0"/>
        <v>634667.05106439651</v>
      </c>
      <c r="E67" s="220">
        <f t="shared" si="1"/>
        <v>846222.73475252872</v>
      </c>
      <c r="F67" s="259">
        <f t="shared" si="2"/>
        <v>528889.20922033046</v>
      </c>
      <c r="G67" s="258">
        <f t="shared" si="3"/>
        <v>193869.53140788749</v>
      </c>
      <c r="H67" s="260">
        <f t="shared" si="4"/>
        <v>20264.128003124999</v>
      </c>
      <c r="I67" s="261">
        <f t="shared" si="6"/>
        <v>583579.67901892809</v>
      </c>
      <c r="J67" s="262">
        <f t="shared" si="5"/>
        <v>2807492.3334671962</v>
      </c>
    </row>
    <row r="68" spans="1:10" x14ac:dyDescent="0.25">
      <c r="A68" s="30" t="s">
        <v>57</v>
      </c>
      <c r="B68" s="219">
        <v>3124.12</v>
      </c>
      <c r="C68" s="39">
        <f>SUM('K '!L68,'1-3 '!J68,'4-6'!J68,'7-8 '!J68,'9-12 '!J68,'Special Ed (Simplified)'!I68,'Special Ed (Goal)'!T69)</f>
        <v>215.03443568754568</v>
      </c>
      <c r="D68" s="258">
        <f t="shared" si="0"/>
        <v>1064420.4566533512</v>
      </c>
      <c r="E68" s="220">
        <f t="shared" si="1"/>
        <v>1419227.2755378014</v>
      </c>
      <c r="F68" s="259">
        <f t="shared" si="2"/>
        <v>887017.04721112596</v>
      </c>
      <c r="G68" s="258">
        <f t="shared" si="3"/>
        <v>312333.91457317496</v>
      </c>
      <c r="H68" s="260">
        <f t="shared" si="4"/>
        <v>32646.565856249996</v>
      </c>
      <c r="I68" s="261">
        <f t="shared" si="6"/>
        <v>940177.26400675206</v>
      </c>
      <c r="J68" s="262">
        <f t="shared" si="5"/>
        <v>4655822.5238384558</v>
      </c>
    </row>
    <row r="69" spans="1:10" x14ac:dyDescent="0.25">
      <c r="A69" s="30" t="s">
        <v>58</v>
      </c>
      <c r="B69" s="219">
        <v>16899.259999999998</v>
      </c>
      <c r="C69" s="39">
        <f>SUM('K '!L69,'1-3 '!J69,'4-6'!J69,'7-8 '!J69,'9-12 '!J69,'Special Ed (Simplified)'!I69,'Special Ed (Goal)'!T70)</f>
        <v>1010.6782579771391</v>
      </c>
      <c r="D69" s="258">
        <f t="shared" si="0"/>
        <v>5002857.3769868389</v>
      </c>
      <c r="E69" s="220">
        <f t="shared" si="1"/>
        <v>6670476.5026491182</v>
      </c>
      <c r="F69" s="259">
        <f t="shared" si="2"/>
        <v>4169047.8141556988</v>
      </c>
      <c r="G69" s="258">
        <f t="shared" si="3"/>
        <v>1689503.6135583373</v>
      </c>
      <c r="H69" s="260">
        <f t="shared" si="4"/>
        <v>176594.62649062497</v>
      </c>
      <c r="I69" s="261">
        <f t="shared" si="6"/>
        <v>5085688.1395524964</v>
      </c>
      <c r="J69" s="262">
        <f t="shared" si="5"/>
        <v>22794168.073393114</v>
      </c>
    </row>
    <row r="70" spans="1:10" x14ac:dyDescent="0.25">
      <c r="A70" s="30" t="s">
        <v>59</v>
      </c>
      <c r="B70" s="219">
        <v>4230.8599999999997</v>
      </c>
      <c r="C70" s="39">
        <f>SUM('K '!L70,'1-3 '!J70,'4-6'!J70,'7-8 '!J70,'9-12 '!J70,'Special Ed (Simplified)'!I70,'Special Ed (Goal)'!T71)</f>
        <v>292.70210883095376</v>
      </c>
      <c r="D70" s="258">
        <f t="shared" si="0"/>
        <v>1448875.4387132211</v>
      </c>
      <c r="E70" s="220">
        <f t="shared" si="1"/>
        <v>1931833.9182842949</v>
      </c>
      <c r="F70" s="259">
        <f t="shared" si="2"/>
        <v>1207396.1989276842</v>
      </c>
      <c r="G70" s="258">
        <f t="shared" si="3"/>
        <v>422980.25229858741</v>
      </c>
      <c r="H70" s="260">
        <f t="shared" si="4"/>
        <v>44211.825928124992</v>
      </c>
      <c r="I70" s="261">
        <f t="shared" si="6"/>
        <v>1273241.2260718562</v>
      </c>
      <c r="J70" s="262">
        <f t="shared" si="5"/>
        <v>6328538.8602237673</v>
      </c>
    </row>
    <row r="71" spans="1:10" x14ac:dyDescent="0.25">
      <c r="A71" s="30" t="s">
        <v>60</v>
      </c>
      <c r="B71" s="219">
        <v>3684.37</v>
      </c>
      <c r="C71" s="39">
        <f>SUM('K '!L71,'1-3 '!J71,'4-6'!J71,'7-8 '!J71,'9-12 '!J71,'Special Ed (Simplified)'!I71,'Special Ed (Goal)'!T72)</f>
        <v>246.95559172690275</v>
      </c>
      <c r="D71" s="258">
        <f t="shared" si="0"/>
        <v>1222430.1790481687</v>
      </c>
      <c r="E71" s="220">
        <f t="shared" si="1"/>
        <v>1629906.9053975581</v>
      </c>
      <c r="F71" s="259">
        <f t="shared" si="2"/>
        <v>1018691.8158734739</v>
      </c>
      <c r="G71" s="258">
        <f t="shared" si="3"/>
        <v>368344.91147458123</v>
      </c>
      <c r="H71" s="260">
        <f t="shared" si="4"/>
        <v>38501.090817187498</v>
      </c>
      <c r="I71" s="261">
        <f t="shared" si="6"/>
        <v>1108779.7223501522</v>
      </c>
      <c r="J71" s="262">
        <f t="shared" si="5"/>
        <v>5386654.6249611219</v>
      </c>
    </row>
    <row r="72" spans="1:10" x14ac:dyDescent="0.25">
      <c r="A72" s="30" t="s">
        <v>61</v>
      </c>
      <c r="B72" s="219">
        <v>665.85</v>
      </c>
      <c r="C72" s="39">
        <f>SUM('K '!L72,'1-3 '!J72,'4-6'!J72,'7-8 '!J72,'9-12 '!J72,'Special Ed (Simplified)'!I72,'Special Ed (Goal)'!T73)</f>
        <v>45.454563868071524</v>
      </c>
      <c r="D72" s="258">
        <f t="shared" si="0"/>
        <v>225000.09114695404</v>
      </c>
      <c r="E72" s="220">
        <f t="shared" si="1"/>
        <v>300000.12152927206</v>
      </c>
      <c r="F72" s="259">
        <f t="shared" si="2"/>
        <v>187500.07595579504</v>
      </c>
      <c r="G72" s="258">
        <f t="shared" si="3"/>
        <v>66568.35749540625</v>
      </c>
      <c r="H72" s="260">
        <f t="shared" si="4"/>
        <v>6958.0284609375003</v>
      </c>
      <c r="I72" s="261">
        <f t="shared" si="6"/>
        <v>200381.87753316003</v>
      </c>
      <c r="J72" s="262">
        <f t="shared" si="5"/>
        <v>986408.55212152505</v>
      </c>
    </row>
    <row r="73" spans="1:10" x14ac:dyDescent="0.25">
      <c r="A73" s="30" t="s">
        <v>62</v>
      </c>
      <c r="B73" s="219">
        <v>5751.42</v>
      </c>
      <c r="C73" s="39">
        <f>SUM('K '!L73,'1-3 '!J73,'4-6'!J73,'7-8 '!J73,'9-12 '!J73,'Special Ed (Simplified)'!I73,'Special Ed (Goal)'!T74)</f>
        <v>371.56790667683276</v>
      </c>
      <c r="D73" s="258">
        <f t="shared" si="0"/>
        <v>1839261.1380503222</v>
      </c>
      <c r="E73" s="220">
        <f t="shared" si="1"/>
        <v>2452348.1840670961</v>
      </c>
      <c r="F73" s="259">
        <f t="shared" si="2"/>
        <v>1532717.6150419351</v>
      </c>
      <c r="G73" s="258">
        <f t="shared" si="3"/>
        <v>574998.24685173749</v>
      </c>
      <c r="H73" s="260">
        <f t="shared" si="4"/>
        <v>60101.440340625006</v>
      </c>
      <c r="I73" s="261">
        <f t="shared" si="6"/>
        <v>1730840.7870868323</v>
      </c>
      <c r="J73" s="262">
        <f t="shared" si="5"/>
        <v>8190267.411438548</v>
      </c>
    </row>
    <row r="74" spans="1:10" x14ac:dyDescent="0.25">
      <c r="A74" s="30" t="s">
        <v>63</v>
      </c>
      <c r="B74" s="219">
        <v>10099.5</v>
      </c>
      <c r="C74" s="39">
        <f>SUM('K '!L74,'1-3 '!J74,'4-6'!J74,'7-8 '!J74,'9-12 '!J74,'Special Ed (Simplified)'!I74,'Special Ed (Goal)'!T75)</f>
        <v>666.69856126491572</v>
      </c>
      <c r="D74" s="258">
        <f t="shared" si="0"/>
        <v>3300157.8782613329</v>
      </c>
      <c r="E74" s="220">
        <f t="shared" si="1"/>
        <v>4400210.5043484438</v>
      </c>
      <c r="F74" s="259">
        <f t="shared" si="2"/>
        <v>2750131.5652177772</v>
      </c>
      <c r="G74" s="258">
        <f t="shared" si="3"/>
        <v>1009697.5693096875</v>
      </c>
      <c r="H74" s="260">
        <f t="shared" si="4"/>
        <v>105538.19695312499</v>
      </c>
      <c r="I74" s="261">
        <f t="shared" si="6"/>
        <v>3039358.3722252003</v>
      </c>
      <c r="J74" s="262">
        <f t="shared" si="5"/>
        <v>14605094.086315569</v>
      </c>
    </row>
    <row r="75" spans="1:10" x14ac:dyDescent="0.25">
      <c r="A75" s="30" t="s">
        <v>64</v>
      </c>
      <c r="B75" s="219">
        <v>2483.25</v>
      </c>
      <c r="C75" s="39">
        <f>SUM('K '!L75,'1-3 '!J75,'4-6'!J75,'7-8 '!J75,'9-12 '!J75,'Special Ed (Simplified)'!I75,'Special Ed (Goal)'!T76)</f>
        <v>168.11975422391333</v>
      </c>
      <c r="D75" s="258">
        <f t="shared" si="0"/>
        <v>832192.78340837103</v>
      </c>
      <c r="E75" s="220">
        <f t="shared" si="1"/>
        <v>1109590.377877828</v>
      </c>
      <c r="F75" s="259">
        <f t="shared" si="2"/>
        <v>693493.98617364245</v>
      </c>
      <c r="G75" s="258">
        <f t="shared" si="3"/>
        <v>248262.93271828123</v>
      </c>
      <c r="H75" s="260">
        <f t="shared" si="4"/>
        <v>25949.574492187498</v>
      </c>
      <c r="I75" s="261">
        <f t="shared" si="6"/>
        <v>747312.90438420011</v>
      </c>
      <c r="J75" s="262">
        <f t="shared" si="5"/>
        <v>3656802.5590545102</v>
      </c>
    </row>
    <row r="76" spans="1:10" x14ac:dyDescent="0.25">
      <c r="A76" s="30" t="s">
        <v>65</v>
      </c>
      <c r="B76" s="219">
        <v>3390.2</v>
      </c>
      <c r="C76" s="39">
        <f>SUM('K '!L76,'1-3 '!J76,'4-6'!J76,'7-8 '!J76,'9-12 '!J76,'Special Ed (Simplified)'!I76,'Special Ed (Goal)'!T77)</f>
        <v>219.65471620092956</v>
      </c>
      <c r="D76" s="258">
        <f t="shared" si="0"/>
        <v>1087290.8451946012</v>
      </c>
      <c r="E76" s="220">
        <f t="shared" si="1"/>
        <v>1449721.126926135</v>
      </c>
      <c r="F76" s="259">
        <f t="shared" si="2"/>
        <v>906075.70432883443</v>
      </c>
      <c r="G76" s="258">
        <f t="shared" si="3"/>
        <v>338935.26406987495</v>
      </c>
      <c r="H76" s="260">
        <f t="shared" si="4"/>
        <v>35427.060281249993</v>
      </c>
      <c r="I76" s="261">
        <f t="shared" si="6"/>
        <v>1020251.7702379201</v>
      </c>
      <c r="J76" s="262">
        <f t="shared" si="5"/>
        <v>4837701.7710386161</v>
      </c>
    </row>
    <row r="77" spans="1:10" x14ac:dyDescent="0.25">
      <c r="A77" s="30" t="s">
        <v>66</v>
      </c>
      <c r="B77" s="219">
        <v>6118.74</v>
      </c>
      <c r="C77" s="39">
        <f>SUM('K '!L77,'1-3 '!J77,'4-6'!J77,'7-8 '!J77,'9-12 '!J77,'Special Ed (Simplified)'!I77,'Special Ed (Goal)'!T78)</f>
        <v>404.11948882581197</v>
      </c>
      <c r="D77" s="258">
        <f t="shared" si="0"/>
        <v>2000391.4696877692</v>
      </c>
      <c r="E77" s="220">
        <f t="shared" si="1"/>
        <v>2667188.6262503592</v>
      </c>
      <c r="F77" s="259">
        <f t="shared" si="2"/>
        <v>1666992.8914064744</v>
      </c>
      <c r="G77" s="258">
        <f t="shared" si="3"/>
        <v>611721.06591791252</v>
      </c>
      <c r="H77" s="260">
        <f t="shared" si="4"/>
        <v>63939.876946874996</v>
      </c>
      <c r="I77" s="261">
        <f t="shared" si="6"/>
        <v>1841382.6077003044</v>
      </c>
      <c r="J77" s="262">
        <f t="shared" si="5"/>
        <v>8851616.5379096959</v>
      </c>
    </row>
    <row r="78" spans="1:10" x14ac:dyDescent="0.25">
      <c r="A78" s="30" t="s">
        <v>67</v>
      </c>
      <c r="B78" s="219">
        <v>15618.17</v>
      </c>
      <c r="C78" s="39">
        <f>SUM('K '!L78,'1-3 '!J78,'4-6'!J78,'7-8 '!J78,'9-12 '!J78,'Special Ed (Simplified)'!I78,'Special Ed (Goal)'!T79)</f>
        <v>970.12943224888613</v>
      </c>
      <c r="D78" s="258">
        <f t="shared" si="0"/>
        <v>4802140.6896319864</v>
      </c>
      <c r="E78" s="220">
        <f t="shared" si="1"/>
        <v>6402854.2528426489</v>
      </c>
      <c r="F78" s="259">
        <f t="shared" si="2"/>
        <v>4001783.9080266552</v>
      </c>
      <c r="G78" s="258">
        <f t="shared" si="3"/>
        <v>1561426.6336022061</v>
      </c>
      <c r="H78" s="260">
        <f t="shared" si="4"/>
        <v>163207.4361609375</v>
      </c>
      <c r="I78" s="261">
        <f t="shared" si="6"/>
        <v>4700155.0322626326</v>
      </c>
      <c r="J78" s="262">
        <f t="shared" si="5"/>
        <v>21631567.952527069</v>
      </c>
    </row>
    <row r="79" spans="1:10" x14ac:dyDescent="0.25">
      <c r="A79" s="30" t="s">
        <v>68</v>
      </c>
      <c r="B79" s="219">
        <v>22502.1</v>
      </c>
      <c r="C79" s="39">
        <f>SUM('K '!L79,'1-3 '!J79,'4-6'!J79,'7-8 '!J79,'9-12 '!J79,'Special Ed (Simplified)'!I79,'Special Ed (Goal)'!T80)</f>
        <v>1468.2483080488514</v>
      </c>
      <c r="D79" s="258">
        <f t="shared" si="0"/>
        <v>7267829.1248418149</v>
      </c>
      <c r="E79" s="220">
        <f t="shared" si="1"/>
        <v>9690438.8331224192</v>
      </c>
      <c r="F79" s="259">
        <f t="shared" si="2"/>
        <v>6056524.2707015118</v>
      </c>
      <c r="G79" s="258">
        <f t="shared" si="3"/>
        <v>2249647.5740743126</v>
      </c>
      <c r="H79" s="260">
        <f t="shared" si="4"/>
        <v>235143.42904687498</v>
      </c>
      <c r="I79" s="261">
        <f t="shared" si="6"/>
        <v>6771815.0430861609</v>
      </c>
      <c r="J79" s="262">
        <f t="shared" si="5"/>
        <v>32271398.274873096</v>
      </c>
    </row>
    <row r="80" spans="1:10" x14ac:dyDescent="0.25">
      <c r="A80" s="30" t="s">
        <v>69</v>
      </c>
      <c r="B80" s="219">
        <v>27586.57</v>
      </c>
      <c r="C80" s="39">
        <f>SUM('K '!L80,'1-3 '!J80,'4-6'!J80,'7-8 '!J80,'9-12 '!J80,'Special Ed (Simplified)'!I80,'Special Ed (Goal)'!T81)</f>
        <v>1690.2759820787135</v>
      </c>
      <c r="D80" s="258">
        <f t="shared" ref="D80:D95" si="7">(($B$4)*$B$8)*C80</f>
        <v>8366866.1112896316</v>
      </c>
      <c r="E80" s="220">
        <f t="shared" ref="E80:E95" si="8">($B$5*$B$8)*C80</f>
        <v>11155821.481719509</v>
      </c>
      <c r="F80" s="259">
        <f t="shared" ref="F80:F95" si="9">($B$6*$B$8)*C80</f>
        <v>6972388.426074693</v>
      </c>
      <c r="G80" s="258">
        <f t="shared" ref="G80:G95" si="10">(($D$4+$D$5+$D$6)*$D$8)*(B80/$D$9)</f>
        <v>2757967.4909244562</v>
      </c>
      <c r="H80" s="260">
        <f t="shared" ref="H80:H95" si="11">($F$5*$F$8)*(B80/$F$9)</f>
        <v>288275.3460984375</v>
      </c>
      <c r="I80" s="261">
        <f t="shared" si="6"/>
        <v>8301942.9170232732</v>
      </c>
      <c r="J80" s="262">
        <f t="shared" ref="J80:J95" si="12">D80+E80+F80+G80+H80+I80</f>
        <v>37843261.77313</v>
      </c>
    </row>
    <row r="81" spans="1:10" x14ac:dyDescent="0.25">
      <c r="A81" s="30" t="s">
        <v>70</v>
      </c>
      <c r="B81" s="219">
        <v>2197.3200000000002</v>
      </c>
      <c r="C81" s="39">
        <f>SUM('K '!L81,'1-3 '!J81,'4-6'!J81,'7-8 '!J81,'9-12 '!J81,'Special Ed (Simplified)'!I81,'Special Ed (Goal)'!T82)</f>
        <v>147.76238181088081</v>
      </c>
      <c r="D81" s="258">
        <f t="shared" si="7"/>
        <v>731423.78996386006</v>
      </c>
      <c r="E81" s="220">
        <f t="shared" si="8"/>
        <v>975231.71995181334</v>
      </c>
      <c r="F81" s="259">
        <f t="shared" si="9"/>
        <v>609519.82496988331</v>
      </c>
      <c r="G81" s="258">
        <f t="shared" si="10"/>
        <v>219677.079359925</v>
      </c>
      <c r="H81" s="260">
        <f t="shared" si="11"/>
        <v>22961.65066875</v>
      </c>
      <c r="I81" s="261">
        <f t="shared" ref="I81:I95" si="13">((($H$4+$H$5+$H$6)*$H$8)*(B81/$H$9))</f>
        <v>661264.70998147212</v>
      </c>
      <c r="J81" s="262">
        <f t="shared" si="12"/>
        <v>3220078.7748957039</v>
      </c>
    </row>
    <row r="82" spans="1:10" x14ac:dyDescent="0.25">
      <c r="A82" s="30" t="s">
        <v>71</v>
      </c>
      <c r="B82" s="219">
        <v>4904.8</v>
      </c>
      <c r="C82" s="39">
        <f>SUM('K '!L82,'1-3 '!J82,'4-6'!J82,'7-8 '!J82,'9-12 '!J82,'Special Ed (Simplified)'!I82,'Special Ed (Goal)'!T83)</f>
        <v>298.52448393824329</v>
      </c>
      <c r="D82" s="258">
        <f t="shared" si="7"/>
        <v>1477696.1954943044</v>
      </c>
      <c r="E82" s="220">
        <f t="shared" si="8"/>
        <v>1970261.5939924058</v>
      </c>
      <c r="F82" s="259">
        <f t="shared" si="9"/>
        <v>1231413.4962452536</v>
      </c>
      <c r="G82" s="258">
        <f t="shared" si="10"/>
        <v>490357.40758950001</v>
      </c>
      <c r="H82" s="260">
        <f t="shared" si="11"/>
        <v>51254.393624999997</v>
      </c>
      <c r="I82" s="261">
        <f t="shared" si="13"/>
        <v>1476057.7200940803</v>
      </c>
      <c r="J82" s="262">
        <f t="shared" si="12"/>
        <v>6697040.8070405433</v>
      </c>
    </row>
    <row r="83" spans="1:10" x14ac:dyDescent="0.25">
      <c r="A83" s="30" t="s">
        <v>72</v>
      </c>
      <c r="B83" s="219">
        <v>9921.15</v>
      </c>
      <c r="C83" s="39">
        <f>SUM('K '!L83,'1-3 '!J83,'4-6'!J83,'7-8 '!J83,'9-12 '!J83,'Special Ed (Simplified)'!I83,'Special Ed (Goal)'!T84)</f>
        <v>615.12827283211686</v>
      </c>
      <c r="D83" s="258">
        <f t="shared" si="7"/>
        <v>3044884.9505189783</v>
      </c>
      <c r="E83" s="220">
        <f t="shared" si="8"/>
        <v>4059846.6006919714</v>
      </c>
      <c r="F83" s="259">
        <f t="shared" si="9"/>
        <v>2537404.125432482</v>
      </c>
      <c r="G83" s="258">
        <f t="shared" si="10"/>
        <v>991867.02705646865</v>
      </c>
      <c r="H83" s="260">
        <f t="shared" si="11"/>
        <v>103674.4673203125</v>
      </c>
      <c r="I83" s="261">
        <f t="shared" si="13"/>
        <v>2985685.4611220402</v>
      </c>
      <c r="J83" s="262">
        <f t="shared" si="12"/>
        <v>13723362.632142251</v>
      </c>
    </row>
    <row r="84" spans="1:10" x14ac:dyDescent="0.25">
      <c r="A84" s="30" t="s">
        <v>73</v>
      </c>
      <c r="B84" s="219">
        <v>2737.16</v>
      </c>
      <c r="C84" s="39">
        <f>SUM('K '!L84,'1-3 '!J84,'4-6'!J84,'7-8 '!J84,'9-12 '!J84,'Special Ed (Simplified)'!I84,'Special Ed (Goal)'!T85)</f>
        <v>179.42411972114556</v>
      </c>
      <c r="D84" s="258">
        <f t="shared" si="7"/>
        <v>888149.39261967049</v>
      </c>
      <c r="E84" s="220">
        <f t="shared" si="8"/>
        <v>1184199.1901595606</v>
      </c>
      <c r="F84" s="259">
        <f t="shared" si="9"/>
        <v>740124.49384972546</v>
      </c>
      <c r="G84" s="258">
        <f t="shared" si="10"/>
        <v>273647.58639652497</v>
      </c>
      <c r="H84" s="260">
        <f t="shared" si="11"/>
        <v>28602.894318750001</v>
      </c>
      <c r="I84" s="261">
        <f t="shared" si="13"/>
        <v>823724.95293033612</v>
      </c>
      <c r="J84" s="262">
        <f t="shared" si="12"/>
        <v>3938448.5102745676</v>
      </c>
    </row>
    <row r="85" spans="1:10" x14ac:dyDescent="0.25">
      <c r="A85" s="30" t="s">
        <v>74</v>
      </c>
      <c r="B85" s="219">
        <v>2669.43</v>
      </c>
      <c r="C85" s="39">
        <f>SUM('K '!L85,'1-3 '!J85,'4-6'!J85,'7-8 '!J85,'9-12 '!J85,'Special Ed (Simplified)'!I85,'Special Ed (Goal)'!T86)</f>
        <v>171.80108821600123</v>
      </c>
      <c r="D85" s="258">
        <f t="shared" si="7"/>
        <v>850415.38666920608</v>
      </c>
      <c r="E85" s="220">
        <f t="shared" si="8"/>
        <v>1133887.182225608</v>
      </c>
      <c r="F85" s="259">
        <f t="shared" si="9"/>
        <v>708679.48889100505</v>
      </c>
      <c r="G85" s="258">
        <f t="shared" si="10"/>
        <v>266876.27926554374</v>
      </c>
      <c r="H85" s="260">
        <f t="shared" si="11"/>
        <v>27895.126401562498</v>
      </c>
      <c r="I85" s="261">
        <f t="shared" si="13"/>
        <v>803342.18719432806</v>
      </c>
      <c r="J85" s="262">
        <f t="shared" si="12"/>
        <v>3791095.6506472537</v>
      </c>
    </row>
    <row r="86" spans="1:10" x14ac:dyDescent="0.25">
      <c r="A86" s="30" t="s">
        <v>75</v>
      </c>
      <c r="B86" s="219">
        <v>8533.4500000000007</v>
      </c>
      <c r="C86" s="39">
        <f>SUM('K '!L86,'1-3 '!J86,'4-6'!J86,'7-8 '!J86,'9-12 '!J86,'Special Ed (Simplified)'!I86,'Special Ed (Goal)'!T87)</f>
        <v>527.91610415828268</v>
      </c>
      <c r="D86" s="258">
        <f t="shared" si="7"/>
        <v>2613184.7155834991</v>
      </c>
      <c r="E86" s="220">
        <f t="shared" si="8"/>
        <v>3484246.2874446656</v>
      </c>
      <c r="F86" s="259">
        <f t="shared" si="9"/>
        <v>2177653.9296529163</v>
      </c>
      <c r="G86" s="258">
        <f t="shared" si="10"/>
        <v>853131.71175065625</v>
      </c>
      <c r="H86" s="260">
        <f t="shared" si="11"/>
        <v>89173.219148437493</v>
      </c>
      <c r="I86" s="261">
        <f t="shared" si="13"/>
        <v>2568068.9837581203</v>
      </c>
      <c r="J86" s="262">
        <f t="shared" si="12"/>
        <v>11785458.847338295</v>
      </c>
    </row>
    <row r="87" spans="1:10" x14ac:dyDescent="0.25">
      <c r="A87" s="30" t="s">
        <v>76</v>
      </c>
      <c r="B87" s="219">
        <v>10966.62</v>
      </c>
      <c r="C87" s="39">
        <f>SUM('K '!L87,'1-3 '!J87,'4-6'!J87,'7-8 '!J87,'9-12 '!J87,'Special Ed (Simplified)'!I87,'Special Ed (Goal)'!T88)</f>
        <v>705.36064812289908</v>
      </c>
      <c r="D87" s="258">
        <f t="shared" si="7"/>
        <v>3491535.2082083505</v>
      </c>
      <c r="E87" s="220">
        <f t="shared" si="8"/>
        <v>4655380.2776111336</v>
      </c>
      <c r="F87" s="259">
        <f t="shared" si="9"/>
        <v>2909612.6735069589</v>
      </c>
      <c r="G87" s="258">
        <f t="shared" si="10"/>
        <v>1096387.8961872375</v>
      </c>
      <c r="H87" s="260">
        <f t="shared" si="11"/>
        <v>114599.46546562499</v>
      </c>
      <c r="I87" s="261">
        <f t="shared" si="13"/>
        <v>3300310.7393447529</v>
      </c>
      <c r="J87" s="262">
        <f t="shared" si="12"/>
        <v>15567826.260324059</v>
      </c>
    </row>
    <row r="88" spans="1:10" x14ac:dyDescent="0.25">
      <c r="A88" s="30" t="s">
        <v>77</v>
      </c>
      <c r="B88" s="219">
        <v>7107.44</v>
      </c>
      <c r="C88" s="39">
        <f>SUM('K '!L88,'1-3 '!J88,'4-6'!J88,'7-8 '!J88,'9-12 '!J88,'Special Ed (Simplified)'!I88,'Special Ed (Goal)'!T89)</f>
        <v>450.67485560559646</v>
      </c>
      <c r="D88" s="258">
        <f t="shared" si="7"/>
        <v>2230840.5352477026</v>
      </c>
      <c r="E88" s="220">
        <f t="shared" si="8"/>
        <v>2974454.0469969367</v>
      </c>
      <c r="F88" s="259">
        <f t="shared" si="9"/>
        <v>1859033.7793730854</v>
      </c>
      <c r="G88" s="258">
        <f t="shared" si="10"/>
        <v>710566.35397934983</v>
      </c>
      <c r="H88" s="260">
        <f t="shared" si="11"/>
        <v>74271.637462499988</v>
      </c>
      <c r="I88" s="261">
        <f t="shared" si="13"/>
        <v>2138923.4386938242</v>
      </c>
      <c r="J88" s="262">
        <f t="shared" si="12"/>
        <v>9988089.7917533983</v>
      </c>
    </row>
    <row r="89" spans="1:10" x14ac:dyDescent="0.25">
      <c r="A89" s="30" t="s">
        <v>78</v>
      </c>
      <c r="B89" s="219">
        <v>15888.61</v>
      </c>
      <c r="C89" s="39">
        <f>SUM('K '!L89,'1-3 '!J89,'4-6'!J89,'7-8 '!J89,'9-12 '!J89,'Special Ed (Simplified)'!I89,'Special Ed (Goal)'!T90)</f>
        <v>1040.2071470481424</v>
      </c>
      <c r="D89" s="258">
        <f t="shared" si="7"/>
        <v>5149025.3778883051</v>
      </c>
      <c r="E89" s="220">
        <f t="shared" si="8"/>
        <v>6865367.1705177398</v>
      </c>
      <c r="F89" s="259">
        <f t="shared" si="9"/>
        <v>4290854.4815735873</v>
      </c>
      <c r="G89" s="258">
        <f t="shared" si="10"/>
        <v>1588463.8741234313</v>
      </c>
      <c r="H89" s="260">
        <f t="shared" si="11"/>
        <v>166033.49190468751</v>
      </c>
      <c r="I89" s="261">
        <f t="shared" si="13"/>
        <v>4781541.6433012569</v>
      </c>
      <c r="J89" s="262">
        <f t="shared" si="12"/>
        <v>22841286.039309006</v>
      </c>
    </row>
    <row r="90" spans="1:10" x14ac:dyDescent="0.25">
      <c r="A90" s="30" t="s">
        <v>79</v>
      </c>
      <c r="B90" s="219">
        <v>3787.02</v>
      </c>
      <c r="C90" s="39">
        <f>SUM('K '!L90,'1-3 '!J90,'4-6'!J90,'7-8 '!J90,'9-12 '!J90,'Special Ed (Simplified)'!I90,'Special Ed (Goal)'!T91)</f>
        <v>250.70103599683736</v>
      </c>
      <c r="D90" s="258">
        <f t="shared" si="7"/>
        <v>1240970.1281843449</v>
      </c>
      <c r="E90" s="220">
        <f t="shared" si="8"/>
        <v>1654626.8375791267</v>
      </c>
      <c r="F90" s="259">
        <f t="shared" si="9"/>
        <v>1034141.7734869542</v>
      </c>
      <c r="G90" s="258">
        <f t="shared" si="10"/>
        <v>378607.34580198745</v>
      </c>
      <c r="H90" s="260">
        <f t="shared" si="11"/>
        <v>39573.767278125</v>
      </c>
      <c r="I90" s="261">
        <f t="shared" si="13"/>
        <v>1139671.3642045921</v>
      </c>
      <c r="J90" s="262">
        <f t="shared" si="12"/>
        <v>5487591.2165351296</v>
      </c>
    </row>
    <row r="91" spans="1:10" x14ac:dyDescent="0.25">
      <c r="A91" s="30" t="s">
        <v>80</v>
      </c>
      <c r="B91" s="219">
        <v>3426.1</v>
      </c>
      <c r="C91" s="39">
        <f>SUM('K '!L91,'1-3 '!J91,'4-6'!J91,'7-8 '!J91,'9-12 '!J91,'Special Ed (Simplified)'!I91,'Special Ed (Goal)'!T92)</f>
        <v>237.62264433700483</v>
      </c>
      <c r="D91" s="258">
        <f t="shared" si="7"/>
        <v>1176232.0894681739</v>
      </c>
      <c r="E91" s="220">
        <f t="shared" si="8"/>
        <v>1568309.4526242318</v>
      </c>
      <c r="F91" s="259">
        <f t="shared" si="9"/>
        <v>980193.40789014497</v>
      </c>
      <c r="G91" s="258">
        <f t="shared" si="10"/>
        <v>342524.36677181249</v>
      </c>
      <c r="H91" s="260">
        <f t="shared" si="11"/>
        <v>35802.209671874996</v>
      </c>
      <c r="I91" s="261">
        <f t="shared" si="13"/>
        <v>1031055.5689965601</v>
      </c>
      <c r="J91" s="262">
        <f t="shared" si="12"/>
        <v>5134117.0954227988</v>
      </c>
    </row>
    <row r="92" spans="1:10" x14ac:dyDescent="0.25">
      <c r="A92" s="30" t="s">
        <v>81</v>
      </c>
      <c r="B92" s="219">
        <v>4956.4399999999996</v>
      </c>
      <c r="C92" s="39">
        <f>SUM('K '!L92,'1-3 '!J92,'4-6'!J92,'7-8 '!J92,'9-12 '!J92,'Special Ed (Simplified)'!I92,'Special Ed (Goal)'!T93)</f>
        <v>327.56641375436897</v>
      </c>
      <c r="D92" s="258">
        <f t="shared" si="7"/>
        <v>1621453.7480841263</v>
      </c>
      <c r="E92" s="220">
        <f t="shared" si="8"/>
        <v>2161938.3307788353</v>
      </c>
      <c r="F92" s="259">
        <f t="shared" si="9"/>
        <v>1351211.4567367721</v>
      </c>
      <c r="G92" s="258">
        <f t="shared" si="10"/>
        <v>495520.1168799749</v>
      </c>
      <c r="H92" s="260">
        <f t="shared" si="11"/>
        <v>51794.023556249995</v>
      </c>
      <c r="I92" s="261">
        <f t="shared" si="13"/>
        <v>1491598.3375842241</v>
      </c>
      <c r="J92" s="262">
        <f t="shared" si="12"/>
        <v>7173516.0136201829</v>
      </c>
    </row>
    <row r="93" spans="1:10" x14ac:dyDescent="0.25">
      <c r="A93" s="30" t="s">
        <v>82</v>
      </c>
      <c r="B93" s="219">
        <v>7694.47</v>
      </c>
      <c r="C93" s="39">
        <f>SUM('K '!L93,'1-3 '!J93,'4-6'!J93,'7-8 '!J93,'9-12 '!J93,'Special Ed (Simplified)'!I93,'Special Ed (Goal)'!T94)</f>
        <v>435.58791545790911</v>
      </c>
      <c r="D93" s="258">
        <f t="shared" si="7"/>
        <v>2156160.1815166501</v>
      </c>
      <c r="E93" s="220">
        <f t="shared" si="8"/>
        <v>2874880.2420222</v>
      </c>
      <c r="F93" s="259">
        <f t="shared" si="9"/>
        <v>1796800.151263875</v>
      </c>
      <c r="G93" s="258">
        <f t="shared" si="10"/>
        <v>769254.68153139367</v>
      </c>
      <c r="H93" s="260">
        <f t="shared" si="11"/>
        <v>80406.009239062492</v>
      </c>
      <c r="I93" s="261">
        <f t="shared" si="13"/>
        <v>2315585.1095931125</v>
      </c>
      <c r="J93" s="262">
        <f t="shared" si="12"/>
        <v>9993086.3751662951</v>
      </c>
    </row>
    <row r="94" spans="1:10" x14ac:dyDescent="0.25">
      <c r="A94" s="30" t="s">
        <v>83</v>
      </c>
      <c r="B94" s="219">
        <v>17132.009999999998</v>
      </c>
      <c r="C94" s="39">
        <f>SUM('K '!L94,'1-3 '!J94,'4-6'!J94,'7-8 '!J94,'9-12 '!J94,'Special Ed (Simplified)'!I94,'Special Ed (Goal)'!T95)</f>
        <v>1083.5972663776447</v>
      </c>
      <c r="D94" s="258">
        <f t="shared" si="7"/>
        <v>5363806.4685693411</v>
      </c>
      <c r="E94" s="220">
        <f t="shared" si="8"/>
        <v>7151741.9580924548</v>
      </c>
      <c r="F94" s="259">
        <f t="shared" si="9"/>
        <v>4469838.7238077847</v>
      </c>
      <c r="G94" s="258">
        <f t="shared" si="10"/>
        <v>1712772.796117556</v>
      </c>
      <c r="H94" s="260">
        <f t="shared" si="11"/>
        <v>179026.82762343748</v>
      </c>
      <c r="I94" s="261">
        <f t="shared" si="13"/>
        <v>5155732.2666018959</v>
      </c>
      <c r="J94" s="262">
        <f t="shared" si="12"/>
        <v>24032919.04081247</v>
      </c>
    </row>
    <row r="95" spans="1:10" x14ac:dyDescent="0.25">
      <c r="A95" s="30" t="s">
        <v>84</v>
      </c>
      <c r="B95" s="219">
        <v>15937.31</v>
      </c>
      <c r="C95" s="39">
        <f>SUM('K '!L95,'1-3 '!J95,'4-6'!J95,'7-8 '!J95,'9-12 '!J95,'Special Ed (Simplified)'!I95,'Special Ed (Goal)'!T96)</f>
        <v>866.56061645246393</v>
      </c>
      <c r="D95" s="258">
        <f t="shared" si="7"/>
        <v>4289475.0514396969</v>
      </c>
      <c r="E95" s="220">
        <f t="shared" si="8"/>
        <v>5719300.0685862619</v>
      </c>
      <c r="F95" s="259">
        <f t="shared" si="9"/>
        <v>3574562.5428664139</v>
      </c>
      <c r="G95" s="258">
        <f t="shared" si="10"/>
        <v>1593332.6568973686</v>
      </c>
      <c r="H95" s="260">
        <f t="shared" si="11"/>
        <v>166542.3992953125</v>
      </c>
      <c r="I95" s="261">
        <f t="shared" si="13"/>
        <v>4796197.4928707769</v>
      </c>
      <c r="J95" s="262">
        <f t="shared" si="12"/>
        <v>20139410.21195583</v>
      </c>
    </row>
    <row r="96" spans="1:10" ht="15.75" thickBot="1" x14ac:dyDescent="0.3">
      <c r="A96" s="415" t="s">
        <v>312</v>
      </c>
      <c r="B96" s="223">
        <v>721122.25</v>
      </c>
      <c r="C96" s="224">
        <f t="shared" ref="C96:J96" si="14">SUM(C15:C95)</f>
        <v>45241.326238311362</v>
      </c>
      <c r="D96" s="263">
        <f t="shared" si="14"/>
        <v>223944564.87964126</v>
      </c>
      <c r="E96" s="226">
        <f t="shared" si="14"/>
        <v>298592753.17285508</v>
      </c>
      <c r="F96" s="264">
        <f>SUM(F15:F95)</f>
        <v>186620470.73303437</v>
      </c>
      <c r="G96" s="265">
        <f t="shared" si="14"/>
        <v>72094201.000062659</v>
      </c>
      <c r="H96" s="266">
        <f t="shared" si="14"/>
        <v>7535614.8371484345</v>
      </c>
      <c r="I96" s="267">
        <f t="shared" si="14"/>
        <v>217015589.67625859</v>
      </c>
      <c r="J96" s="268">
        <f t="shared" si="14"/>
        <v>1005803194.2990003</v>
      </c>
    </row>
    <row r="97" spans="6:6" x14ac:dyDescent="0.25">
      <c r="F97" s="251"/>
    </row>
    <row r="98" spans="6:6" x14ac:dyDescent="0.25">
      <c r="F98" s="255"/>
    </row>
  </sheetData>
  <mergeCells count="15">
    <mergeCell ref="I12:I13"/>
    <mergeCell ref="J12:J13"/>
    <mergeCell ref="G11:H11"/>
    <mergeCell ref="F12:F13"/>
    <mergeCell ref="G12:G13"/>
    <mergeCell ref="H12:H13"/>
    <mergeCell ref="D11:F11"/>
    <mergeCell ref="G3:H3"/>
    <mergeCell ref="E3:F3"/>
    <mergeCell ref="C3:D3"/>
    <mergeCell ref="A12:A13"/>
    <mergeCell ref="B12:B13"/>
    <mergeCell ref="D12:D13"/>
    <mergeCell ref="E12:E13"/>
    <mergeCell ref="C12:C13"/>
  </mergeCells>
  <printOptions horizontalCentered="1"/>
  <pageMargins left="0.5" right="0.5" top="0.5" bottom="0.5" header="0.3" footer="0.3"/>
  <pageSetup scale="66" fitToHeight="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Q95"/>
  <sheetViews>
    <sheetView zoomScaleNormal="100" zoomScaleSheetLayoutView="100" workbookViewId="0">
      <selection activeCell="H5" sqref="H5"/>
    </sheetView>
  </sheetViews>
  <sheetFormatPr defaultRowHeight="15" x14ac:dyDescent="0.25"/>
  <cols>
    <col min="1" max="1" width="20.42578125" style="1" customWidth="1"/>
    <col min="2" max="2" width="12.28515625" style="1" bestFit="1" customWidth="1"/>
    <col min="3" max="3" width="15.140625" style="1" bestFit="1" customWidth="1"/>
    <col min="4" max="4" width="16" style="1" bestFit="1" customWidth="1"/>
    <col min="5" max="5" width="15.140625" style="1" bestFit="1" customWidth="1"/>
    <col min="6" max="6" width="9.85546875" style="1" bestFit="1" customWidth="1"/>
    <col min="7" max="7" width="18.5703125" style="1" customWidth="1"/>
    <col min="8" max="8" width="8.7109375" style="1" bestFit="1" customWidth="1"/>
    <col min="9" max="9" width="16" style="1" bestFit="1" customWidth="1"/>
    <col min="10" max="10" width="11.7109375" style="1" bestFit="1" customWidth="1"/>
    <col min="11" max="11" width="13.140625" style="1" bestFit="1" customWidth="1"/>
    <col min="12" max="12" width="11.7109375" style="1" bestFit="1" customWidth="1"/>
    <col min="13" max="13" width="12.5703125" style="1" bestFit="1" customWidth="1"/>
    <col min="14" max="14" width="6.85546875" style="1" customWidth="1"/>
    <col min="15" max="15" width="10.28515625" style="1" bestFit="1" customWidth="1"/>
    <col min="16" max="16" width="15" style="1" bestFit="1" customWidth="1"/>
    <col min="17" max="17" width="3.85546875" style="1" customWidth="1"/>
    <col min="18" max="18" width="15.5703125" style="1" customWidth="1"/>
    <col min="19" max="19" width="11.140625" style="1" bestFit="1" customWidth="1"/>
    <col min="20" max="16384" width="9.140625" style="1"/>
  </cols>
  <sheetData>
    <row r="1" spans="1:17" ht="23.25" x14ac:dyDescent="0.35">
      <c r="A1" s="207" t="s">
        <v>685</v>
      </c>
      <c r="B1" s="208"/>
      <c r="C1" s="208"/>
      <c r="D1" s="208"/>
      <c r="E1" s="208"/>
      <c r="F1" s="208"/>
      <c r="G1" s="209"/>
      <c r="H1" s="209"/>
      <c r="I1" s="209"/>
      <c r="J1" s="209"/>
    </row>
    <row r="2" spans="1:17" ht="15.75" thickBot="1" x14ac:dyDescent="0.3">
      <c r="B2" s="270"/>
      <c r="C2" s="270"/>
      <c r="D2" s="270"/>
    </row>
    <row r="3" spans="1:17" ht="25.5" x14ac:dyDescent="0.25">
      <c r="A3" s="637" t="s">
        <v>152</v>
      </c>
      <c r="B3" s="271"/>
      <c r="C3" s="637" t="s">
        <v>686</v>
      </c>
      <c r="D3" s="42"/>
      <c r="E3" s="638" t="s">
        <v>598</v>
      </c>
      <c r="F3" s="42"/>
      <c r="G3" s="894" t="s">
        <v>640</v>
      </c>
      <c r="H3" s="895"/>
      <c r="I3" s="638" t="s">
        <v>142</v>
      </c>
      <c r="J3" s="66"/>
    </row>
    <row r="4" spans="1:17" x14ac:dyDescent="0.25">
      <c r="A4" s="212" t="s">
        <v>95</v>
      </c>
      <c r="B4" s="43">
        <f>Amounts!C74</f>
        <v>156051</v>
      </c>
      <c r="C4" s="212" t="s">
        <v>95</v>
      </c>
      <c r="D4" s="43">
        <f>Amounts!C65</f>
        <v>71337.600000000006</v>
      </c>
      <c r="E4" s="212" t="s">
        <v>95</v>
      </c>
      <c r="F4" s="43">
        <f>Amounts!C68</f>
        <v>35668.800000000003</v>
      </c>
      <c r="G4" s="212" t="s">
        <v>597</v>
      </c>
      <c r="H4" s="272">
        <f>Amounts!G65</f>
        <v>35</v>
      </c>
      <c r="I4" s="211" t="s">
        <v>228</v>
      </c>
      <c r="J4" s="43">
        <f>Amounts!C71</f>
        <v>668.79</v>
      </c>
    </row>
    <row r="5" spans="1:17" ht="26.25" x14ac:dyDescent="0.25">
      <c r="A5" s="212" t="s">
        <v>138</v>
      </c>
      <c r="B5" s="43">
        <f>B4*B9</f>
        <v>44100.012600000002</v>
      </c>
      <c r="C5" s="212" t="s">
        <v>138</v>
      </c>
      <c r="D5" s="43">
        <f>D4*B9</f>
        <v>20160.005760000004</v>
      </c>
      <c r="E5" s="212" t="s">
        <v>138</v>
      </c>
      <c r="F5" s="43">
        <f>F4*B9</f>
        <v>10080.002880000002</v>
      </c>
      <c r="G5" s="212" t="s">
        <v>599</v>
      </c>
      <c r="H5" s="272">
        <f>Amounts!I65</f>
        <v>350</v>
      </c>
      <c r="I5" s="212"/>
      <c r="J5" s="43"/>
    </row>
    <row r="6" spans="1:17" ht="15.75" thickBot="1" x14ac:dyDescent="0.3">
      <c r="A6" s="213" t="s">
        <v>98</v>
      </c>
      <c r="B6" s="44">
        <f>Amounts!B6</f>
        <v>6798</v>
      </c>
      <c r="C6" s="213" t="s">
        <v>98</v>
      </c>
      <c r="D6" s="44">
        <f>Amounts!B6</f>
        <v>6798</v>
      </c>
      <c r="E6" s="213" t="s">
        <v>98</v>
      </c>
      <c r="F6" s="44">
        <f>Amounts!B6</f>
        <v>6798</v>
      </c>
      <c r="G6" s="212" t="s">
        <v>644</v>
      </c>
      <c r="H6" s="272">
        <f>Amounts!I66</f>
        <v>6</v>
      </c>
      <c r="I6" s="213"/>
      <c r="J6" s="44"/>
    </row>
    <row r="7" spans="1:17" s="276" customFormat="1" ht="25.5" thickBot="1" x14ac:dyDescent="0.3">
      <c r="A7" s="639" t="s">
        <v>153</v>
      </c>
      <c r="B7" s="273">
        <v>1</v>
      </c>
      <c r="C7" s="639" t="s">
        <v>595</v>
      </c>
      <c r="D7" s="273" t="s">
        <v>596</v>
      </c>
      <c r="E7" s="639" t="s">
        <v>595</v>
      </c>
      <c r="F7" s="273" t="s">
        <v>596</v>
      </c>
      <c r="G7" s="274" t="s">
        <v>645</v>
      </c>
      <c r="H7" s="275">
        <f>Amounts!I67</f>
        <v>20</v>
      </c>
      <c r="I7" s="639" t="s">
        <v>202</v>
      </c>
      <c r="J7" s="273">
        <f>Amounts!E71</f>
        <v>1</v>
      </c>
    </row>
    <row r="8" spans="1:17" s="276" customFormat="1" ht="27" customHeight="1" x14ac:dyDescent="0.25">
      <c r="A8" s="243"/>
      <c r="B8" s="65"/>
      <c r="C8" s="65"/>
      <c r="D8" s="243"/>
      <c r="E8" s="65"/>
      <c r="F8" s="243"/>
      <c r="G8" s="65"/>
      <c r="H8" s="65"/>
      <c r="I8" s="65"/>
      <c r="J8" s="243"/>
      <c r="K8" s="243"/>
      <c r="L8" s="243"/>
      <c r="M8" s="243"/>
      <c r="N8" s="65"/>
      <c r="P8" s="277"/>
      <c r="Q8" s="278"/>
    </row>
    <row r="9" spans="1:17" ht="15.75" thickBot="1" x14ac:dyDescent="0.3">
      <c r="A9" s="35" t="s">
        <v>146</v>
      </c>
      <c r="B9" s="217">
        <f>Amounts!B9</f>
        <v>0.28260000000000002</v>
      </c>
      <c r="C9" s="217"/>
      <c r="D9" s="218"/>
      <c r="E9" s="218"/>
    </row>
    <row r="10" spans="1:17" ht="15.75" thickBot="1" x14ac:dyDescent="0.3">
      <c r="D10" s="850" t="s">
        <v>201</v>
      </c>
      <c r="E10" s="851"/>
      <c r="F10" s="851"/>
      <c r="G10" s="851"/>
      <c r="H10" s="851"/>
      <c r="I10" s="851"/>
      <c r="J10" s="851"/>
      <c r="K10" s="852"/>
      <c r="M10" s="244"/>
      <c r="N10" s="244"/>
    </row>
    <row r="11" spans="1:17" ht="45" customHeight="1" x14ac:dyDescent="0.25">
      <c r="A11" s="848" t="s">
        <v>0</v>
      </c>
      <c r="B11" s="831" t="s">
        <v>86</v>
      </c>
      <c r="C11" s="890" t="s">
        <v>187</v>
      </c>
      <c r="D11" s="845" t="s">
        <v>170</v>
      </c>
      <c r="E11" s="889" t="s">
        <v>643</v>
      </c>
      <c r="F11" s="889" t="s">
        <v>641</v>
      </c>
      <c r="G11" s="906" t="s">
        <v>642</v>
      </c>
      <c r="H11" s="882" t="s">
        <v>594</v>
      </c>
      <c r="I11" s="910" t="s">
        <v>632</v>
      </c>
      <c r="J11" s="910" t="s">
        <v>203</v>
      </c>
      <c r="K11" s="882" t="s">
        <v>148</v>
      </c>
    </row>
    <row r="12" spans="1:17" ht="15.75" thickBot="1" x14ac:dyDescent="0.3">
      <c r="A12" s="903"/>
      <c r="B12" s="904"/>
      <c r="C12" s="909"/>
      <c r="D12" s="908"/>
      <c r="E12" s="905"/>
      <c r="F12" s="905"/>
      <c r="G12" s="907"/>
      <c r="H12" s="912"/>
      <c r="I12" s="911"/>
      <c r="J12" s="911"/>
      <c r="K12" s="912"/>
    </row>
    <row r="13" spans="1:17" s="241" customFormat="1" ht="15.75" thickBot="1" x14ac:dyDescent="0.3">
      <c r="A13" s="817" t="s">
        <v>715</v>
      </c>
      <c r="B13" s="818" t="s">
        <v>716</v>
      </c>
      <c r="C13" s="818" t="s">
        <v>717</v>
      </c>
      <c r="D13" s="819" t="s">
        <v>718</v>
      </c>
      <c r="E13" s="778" t="s">
        <v>719</v>
      </c>
      <c r="F13" s="778" t="s">
        <v>720</v>
      </c>
      <c r="G13" s="820" t="s">
        <v>721</v>
      </c>
      <c r="H13" s="821" t="s">
        <v>722</v>
      </c>
      <c r="I13" s="820" t="s">
        <v>723</v>
      </c>
      <c r="J13" s="821" t="s">
        <v>724</v>
      </c>
      <c r="K13" s="822" t="s">
        <v>725</v>
      </c>
    </row>
    <row r="14" spans="1:17" x14ac:dyDescent="0.25">
      <c r="A14" s="40" t="s">
        <v>4</v>
      </c>
      <c r="B14" s="816">
        <v>2915.96</v>
      </c>
      <c r="C14" s="69">
        <f>SUM('K '!L15,'1-3 '!J15,'4-6'!J15,'7-8 '!J15,'9-12 '!J15,'Special Ed (Simplified)'!I15,'Special Ed (Goal)'!T15)</f>
        <v>186.0934763298053</v>
      </c>
      <c r="D14" s="232">
        <f>$B$7</f>
        <v>1</v>
      </c>
      <c r="E14" s="587">
        <f>($B$4+$B$5+$B$6)*D14</f>
        <v>206949.01260000002</v>
      </c>
      <c r="F14" s="738">
        <f>_xlfn.FLOOR.MATH(IF(C14&lt;$H$5,$H$6,MIN($H$7,$H$6+(C14-$H$5)/$H$4)),1)</f>
        <v>6</v>
      </c>
      <c r="G14" s="585">
        <f>($D$4+$D$5+$D$6)*F14</f>
        <v>589773.63456000003</v>
      </c>
      <c r="H14" s="739">
        <f>F14</f>
        <v>6</v>
      </c>
      <c r="I14" s="585">
        <f>($F$4+$F$5+$F$6)*H14</f>
        <v>315280.81728000002</v>
      </c>
      <c r="J14" s="740">
        <f>$J$4*$J$7*C14</f>
        <v>124457.45603461048</v>
      </c>
      <c r="K14" s="703">
        <f t="shared" ref="K14:K45" si="0">E14+G14+I14+J14</f>
        <v>1236460.9204746105</v>
      </c>
    </row>
    <row r="15" spans="1:17" x14ac:dyDescent="0.25">
      <c r="A15" s="41" t="s">
        <v>5</v>
      </c>
      <c r="B15" s="279">
        <v>23246.81</v>
      </c>
      <c r="C15" s="39">
        <f>SUM('K '!L16,'1-3 '!J16,'4-6'!J16,'7-8 '!J16,'9-12 '!J16,'Special Ed (Simplified)'!I16,'Special Ed (Goal)'!T16)</f>
        <v>1466.4360887812882</v>
      </c>
      <c r="D15" s="219">
        <f t="shared" ref="D15:D78" si="1">$B$7</f>
        <v>1</v>
      </c>
      <c r="E15" s="220">
        <f t="shared" ref="E15:E78" si="2">($B$4+$B$5+$B$6)*D15</f>
        <v>206949.01260000002</v>
      </c>
      <c r="F15" s="280">
        <f>_xlfn.FLOOR.MATH(IF(C15&lt;$H$5,$H$6,MIN($H$7,$H$6+(C15-$H$5)/$H$4)),1)</f>
        <v>20</v>
      </c>
      <c r="G15" s="222">
        <f t="shared" ref="G15:G78" si="3">($D$4+$D$5+$D$6)*F15</f>
        <v>1965912.1152000001</v>
      </c>
      <c r="H15" s="281">
        <f t="shared" ref="H15:H78" si="4">F15</f>
        <v>20</v>
      </c>
      <c r="I15" s="222">
        <f t="shared" ref="I15:I45" si="5">($F$4+$F$5+$F$6)*H15</f>
        <v>1050936.0575999999</v>
      </c>
      <c r="J15" s="259">
        <f t="shared" ref="J15:J45" si="6">$J$4*$J$7*C15</f>
        <v>980737.79181603761</v>
      </c>
      <c r="K15" s="27">
        <f t="shared" si="0"/>
        <v>4204534.977216037</v>
      </c>
    </row>
    <row r="16" spans="1:17" x14ac:dyDescent="0.25">
      <c r="A16" s="41" t="s">
        <v>6</v>
      </c>
      <c r="B16" s="279">
        <v>1028.55</v>
      </c>
      <c r="C16" s="39">
        <f>SUM('K '!L17,'1-3 '!J17,'4-6'!J17,'7-8 '!J17,'9-12 '!J17,'Special Ed (Simplified)'!I17,'Special Ed (Goal)'!T17)</f>
        <v>69.316766251046957</v>
      </c>
      <c r="D16" s="219">
        <f t="shared" si="1"/>
        <v>1</v>
      </c>
      <c r="E16" s="220">
        <f t="shared" si="2"/>
        <v>206949.01260000002</v>
      </c>
      <c r="F16" s="280">
        <f t="shared" ref="F16:F78" si="7">_xlfn.FLOOR.MATH(IF(C16&lt;$H$5,$H$6,MIN($H$7,$H$6+(C16-$H$5)/$H$4)),1)</f>
        <v>6</v>
      </c>
      <c r="G16" s="222">
        <f t="shared" si="3"/>
        <v>589773.63456000003</v>
      </c>
      <c r="H16" s="281">
        <f t="shared" si="4"/>
        <v>6</v>
      </c>
      <c r="I16" s="222">
        <f t="shared" si="5"/>
        <v>315280.81728000002</v>
      </c>
      <c r="J16" s="259">
        <f t="shared" si="6"/>
        <v>46358.360101037695</v>
      </c>
      <c r="K16" s="27">
        <f t="shared" si="0"/>
        <v>1158361.8245410377</v>
      </c>
    </row>
    <row r="17" spans="1:11" x14ac:dyDescent="0.25">
      <c r="A17" s="41" t="s">
        <v>7</v>
      </c>
      <c r="B17" s="279">
        <v>9875.19</v>
      </c>
      <c r="C17" s="39">
        <f>SUM('K '!L18,'1-3 '!J18,'4-6'!J18,'7-8 '!J18,'9-12 '!J18,'Special Ed (Simplified)'!I18,'Special Ed (Goal)'!T18)</f>
        <v>601.41425616563811</v>
      </c>
      <c r="D17" s="219">
        <f t="shared" si="1"/>
        <v>1</v>
      </c>
      <c r="E17" s="220">
        <f t="shared" si="2"/>
        <v>206949.01260000002</v>
      </c>
      <c r="F17" s="280">
        <f>_xlfn.FLOOR.MATH(IF(C17&lt;$H$5,$H$6,MIN($H$7,$H$6+(C17-$H$5)/$H$4)),1)</f>
        <v>13</v>
      </c>
      <c r="G17" s="222">
        <f t="shared" si="3"/>
        <v>1277842.87488</v>
      </c>
      <c r="H17" s="281">
        <f t="shared" si="4"/>
        <v>13</v>
      </c>
      <c r="I17" s="222">
        <f t="shared" si="5"/>
        <v>683108.43744000001</v>
      </c>
      <c r="J17" s="259">
        <f t="shared" si="6"/>
        <v>402219.84038101707</v>
      </c>
      <c r="K17" s="27">
        <f t="shared" si="0"/>
        <v>2570120.165301017</v>
      </c>
    </row>
    <row r="18" spans="1:11" x14ac:dyDescent="0.25">
      <c r="A18" s="41" t="s">
        <v>8</v>
      </c>
      <c r="B18" s="279">
        <v>3618.89</v>
      </c>
      <c r="C18" s="39">
        <f>SUM('K '!L19,'1-3 '!J19,'4-6'!J19,'7-8 '!J19,'9-12 '!J19,'Special Ed (Simplified)'!I19,'Special Ed (Goal)'!T19)</f>
        <v>232.05412247449564</v>
      </c>
      <c r="D18" s="219">
        <f t="shared" si="1"/>
        <v>1</v>
      </c>
      <c r="E18" s="220">
        <f t="shared" si="2"/>
        <v>206949.01260000002</v>
      </c>
      <c r="F18" s="280">
        <f t="shared" si="7"/>
        <v>6</v>
      </c>
      <c r="G18" s="222">
        <f t="shared" si="3"/>
        <v>589773.63456000003</v>
      </c>
      <c r="H18" s="281">
        <f t="shared" si="4"/>
        <v>6</v>
      </c>
      <c r="I18" s="222">
        <f t="shared" si="5"/>
        <v>315280.81728000002</v>
      </c>
      <c r="J18" s="259">
        <f t="shared" si="6"/>
        <v>155195.47656971792</v>
      </c>
      <c r="K18" s="27">
        <f t="shared" si="0"/>
        <v>1267198.941009718</v>
      </c>
    </row>
    <row r="19" spans="1:11" x14ac:dyDescent="0.25">
      <c r="A19" s="41" t="s">
        <v>9</v>
      </c>
      <c r="B19" s="279">
        <v>2479.0500000000002</v>
      </c>
      <c r="C19" s="39">
        <f>SUM('K '!L20,'1-3 '!J20,'4-6'!J20,'7-8 '!J20,'9-12 '!J20,'Special Ed (Simplified)'!I20,'Special Ed (Goal)'!T20)</f>
        <v>161.82754788098188</v>
      </c>
      <c r="D19" s="219">
        <f t="shared" si="1"/>
        <v>1</v>
      </c>
      <c r="E19" s="220">
        <f t="shared" si="2"/>
        <v>206949.01260000002</v>
      </c>
      <c r="F19" s="280">
        <f t="shared" si="7"/>
        <v>6</v>
      </c>
      <c r="G19" s="222">
        <f t="shared" si="3"/>
        <v>589773.63456000003</v>
      </c>
      <c r="H19" s="281">
        <f t="shared" si="4"/>
        <v>6</v>
      </c>
      <c r="I19" s="222">
        <f t="shared" si="5"/>
        <v>315280.81728000002</v>
      </c>
      <c r="J19" s="259">
        <f t="shared" si="6"/>
        <v>108228.64574732186</v>
      </c>
      <c r="K19" s="27">
        <f t="shared" si="0"/>
        <v>1220232.1101873219</v>
      </c>
    </row>
    <row r="20" spans="1:11" x14ac:dyDescent="0.25">
      <c r="A20" s="41" t="s">
        <v>10</v>
      </c>
      <c r="B20" s="279">
        <v>2744.29</v>
      </c>
      <c r="C20" s="39">
        <f>SUM('K '!L21,'1-3 '!J21,'4-6'!J21,'7-8 '!J21,'9-12 '!J21,'Special Ed (Simplified)'!I21,'Special Ed (Goal)'!T21)</f>
        <v>174.96329925459273</v>
      </c>
      <c r="D20" s="219">
        <f t="shared" si="1"/>
        <v>1</v>
      </c>
      <c r="E20" s="220">
        <f t="shared" si="2"/>
        <v>206949.01260000002</v>
      </c>
      <c r="F20" s="280">
        <f t="shared" si="7"/>
        <v>6</v>
      </c>
      <c r="G20" s="222">
        <f t="shared" si="3"/>
        <v>589773.63456000003</v>
      </c>
      <c r="H20" s="281">
        <f t="shared" si="4"/>
        <v>6</v>
      </c>
      <c r="I20" s="222">
        <f t="shared" si="5"/>
        <v>315280.81728000002</v>
      </c>
      <c r="J20" s="259">
        <f t="shared" si="6"/>
        <v>117013.70490847906</v>
      </c>
      <c r="K20" s="27">
        <f t="shared" si="0"/>
        <v>1229017.169348479</v>
      </c>
    </row>
    <row r="21" spans="1:11" x14ac:dyDescent="0.25">
      <c r="A21" s="41" t="s">
        <v>11</v>
      </c>
      <c r="B21" s="279">
        <v>12671.61</v>
      </c>
      <c r="C21" s="39">
        <f>SUM('K '!L22,'1-3 '!J22,'4-6'!J22,'7-8 '!J22,'9-12 '!J22,'Special Ed (Simplified)'!I22,'Special Ed (Goal)'!T23)</f>
        <v>801.04198960022097</v>
      </c>
      <c r="D21" s="219">
        <f t="shared" si="1"/>
        <v>1</v>
      </c>
      <c r="E21" s="220">
        <f t="shared" si="2"/>
        <v>206949.01260000002</v>
      </c>
      <c r="F21" s="280">
        <f t="shared" si="7"/>
        <v>18</v>
      </c>
      <c r="G21" s="222">
        <f t="shared" si="3"/>
        <v>1769320.90368</v>
      </c>
      <c r="H21" s="281">
        <f t="shared" si="4"/>
        <v>18</v>
      </c>
      <c r="I21" s="222">
        <f t="shared" si="5"/>
        <v>945842.45183999999</v>
      </c>
      <c r="J21" s="259">
        <f t="shared" si="6"/>
        <v>535728.87222473172</v>
      </c>
      <c r="K21" s="27">
        <f t="shared" si="0"/>
        <v>3457841.2403447316</v>
      </c>
    </row>
    <row r="22" spans="1:11" x14ac:dyDescent="0.25">
      <c r="A22" s="41" t="s">
        <v>12</v>
      </c>
      <c r="B22" s="279">
        <v>1256.76</v>
      </c>
      <c r="C22" s="39">
        <f>SUM('K '!L23,'1-3 '!J23,'4-6'!J23,'7-8 '!J23,'9-12 '!J23,'Special Ed (Simplified)'!I23,'Special Ed (Goal)'!T24)</f>
        <v>82.03054419581116</v>
      </c>
      <c r="D22" s="219">
        <f t="shared" si="1"/>
        <v>1</v>
      </c>
      <c r="E22" s="220">
        <f t="shared" si="2"/>
        <v>206949.01260000002</v>
      </c>
      <c r="F22" s="280">
        <f t="shared" si="7"/>
        <v>6</v>
      </c>
      <c r="G22" s="222">
        <f t="shared" si="3"/>
        <v>589773.63456000003</v>
      </c>
      <c r="H22" s="281">
        <f t="shared" si="4"/>
        <v>6</v>
      </c>
      <c r="I22" s="222">
        <f t="shared" si="5"/>
        <v>315280.81728000002</v>
      </c>
      <c r="J22" s="259">
        <f t="shared" si="6"/>
        <v>54861.207652716541</v>
      </c>
      <c r="K22" s="27">
        <f t="shared" si="0"/>
        <v>1166864.6720927164</v>
      </c>
    </row>
    <row r="23" spans="1:11" x14ac:dyDescent="0.25">
      <c r="A23" s="41" t="s">
        <v>13</v>
      </c>
      <c r="B23" s="279">
        <v>638.25</v>
      </c>
      <c r="C23" s="39">
        <f>SUM('K '!L24,'1-3 '!J24,'4-6'!J24,'7-8 '!J24,'9-12 '!J24,'Special Ed (Simplified)'!I24,'Special Ed (Goal)'!T25)</f>
        <v>45.809135494692619</v>
      </c>
      <c r="D23" s="219">
        <f t="shared" si="1"/>
        <v>1</v>
      </c>
      <c r="E23" s="220">
        <f t="shared" si="2"/>
        <v>206949.01260000002</v>
      </c>
      <c r="F23" s="280">
        <f t="shared" si="7"/>
        <v>6</v>
      </c>
      <c r="G23" s="222">
        <f t="shared" si="3"/>
        <v>589773.63456000003</v>
      </c>
      <c r="H23" s="281">
        <f t="shared" si="4"/>
        <v>6</v>
      </c>
      <c r="I23" s="222">
        <f t="shared" si="5"/>
        <v>315280.81728000002</v>
      </c>
      <c r="J23" s="259">
        <f t="shared" si="6"/>
        <v>30636.691727495476</v>
      </c>
      <c r="K23" s="27">
        <f t="shared" si="0"/>
        <v>1142640.1561674955</v>
      </c>
    </row>
    <row r="24" spans="1:11" x14ac:dyDescent="0.25">
      <c r="A24" s="41" t="s">
        <v>14</v>
      </c>
      <c r="B24" s="279">
        <v>587.14</v>
      </c>
      <c r="C24" s="39">
        <f>SUM('K '!L25,'1-3 '!J25,'4-6'!J25,'7-8 '!J25,'9-12 '!J25,'Special Ed (Simplified)'!I25,'Special Ed (Goal)'!T26)</f>
        <v>40.998846091204371</v>
      </c>
      <c r="D24" s="219">
        <f t="shared" si="1"/>
        <v>1</v>
      </c>
      <c r="E24" s="220">
        <f t="shared" si="2"/>
        <v>206949.01260000002</v>
      </c>
      <c r="F24" s="280">
        <f t="shared" si="7"/>
        <v>6</v>
      </c>
      <c r="G24" s="222">
        <f t="shared" si="3"/>
        <v>589773.63456000003</v>
      </c>
      <c r="H24" s="281">
        <f t="shared" si="4"/>
        <v>6</v>
      </c>
      <c r="I24" s="222">
        <f t="shared" si="5"/>
        <v>315280.81728000002</v>
      </c>
      <c r="J24" s="259">
        <f t="shared" si="6"/>
        <v>27419.618277336569</v>
      </c>
      <c r="K24" s="27">
        <f t="shared" si="0"/>
        <v>1139423.0827173365</v>
      </c>
    </row>
    <row r="25" spans="1:11" x14ac:dyDescent="0.25">
      <c r="A25" s="41" t="s">
        <v>15</v>
      </c>
      <c r="B25" s="279">
        <v>822.79</v>
      </c>
      <c r="C25" s="39">
        <f>SUM('K '!L26,'1-3 '!J26,'4-6'!J26,'7-8 '!J26,'9-12 '!J26,'Special Ed (Simplified)'!I26,'Special Ed (Goal)'!T27)</f>
        <v>54.369716113994578</v>
      </c>
      <c r="D25" s="219">
        <f t="shared" si="1"/>
        <v>1</v>
      </c>
      <c r="E25" s="220">
        <f t="shared" si="2"/>
        <v>206949.01260000002</v>
      </c>
      <c r="F25" s="280">
        <f t="shared" si="7"/>
        <v>6</v>
      </c>
      <c r="G25" s="222">
        <f t="shared" si="3"/>
        <v>589773.63456000003</v>
      </c>
      <c r="H25" s="281">
        <f t="shared" si="4"/>
        <v>6</v>
      </c>
      <c r="I25" s="222">
        <f t="shared" si="5"/>
        <v>315280.81728000002</v>
      </c>
      <c r="J25" s="259">
        <f t="shared" si="6"/>
        <v>36361.922439878428</v>
      </c>
      <c r="K25" s="27">
        <f t="shared" si="0"/>
        <v>1148365.3868798784</v>
      </c>
    </row>
    <row r="26" spans="1:11" x14ac:dyDescent="0.25">
      <c r="A26" s="41" t="s">
        <v>16</v>
      </c>
      <c r="B26" s="279">
        <v>2117.3200000000002</v>
      </c>
      <c r="C26" s="39">
        <f>SUM('K '!L27,'1-3 '!J27,'4-6'!J27,'7-8 '!J27,'9-12 '!J27,'Special Ed (Simplified)'!I27,'Special Ed (Goal)'!T28)</f>
        <v>140.96700045489638</v>
      </c>
      <c r="D26" s="219">
        <f t="shared" si="1"/>
        <v>1</v>
      </c>
      <c r="E26" s="220">
        <f t="shared" si="2"/>
        <v>206949.01260000002</v>
      </c>
      <c r="F26" s="280">
        <f t="shared" si="7"/>
        <v>6</v>
      </c>
      <c r="G26" s="222">
        <f t="shared" si="3"/>
        <v>589773.63456000003</v>
      </c>
      <c r="H26" s="281">
        <f t="shared" si="4"/>
        <v>6</v>
      </c>
      <c r="I26" s="222">
        <f t="shared" si="5"/>
        <v>315280.81728000002</v>
      </c>
      <c r="J26" s="259">
        <f t="shared" si="6"/>
        <v>94277.320234230137</v>
      </c>
      <c r="K26" s="27">
        <f t="shared" si="0"/>
        <v>1206280.78467423</v>
      </c>
    </row>
    <row r="27" spans="1:11" x14ac:dyDescent="0.25">
      <c r="A27" s="41" t="s">
        <v>17</v>
      </c>
      <c r="B27" s="279">
        <v>21287.25</v>
      </c>
      <c r="C27" s="39">
        <f>SUM('K '!L28,'1-3 '!J28,'4-6'!J28,'7-8 '!J28,'9-12 '!J28,'Special Ed (Simplified)'!I28,'Special Ed (Goal)'!T29)</f>
        <v>1276.8656224340612</v>
      </c>
      <c r="D27" s="219">
        <f t="shared" si="1"/>
        <v>1</v>
      </c>
      <c r="E27" s="220">
        <f t="shared" si="2"/>
        <v>206949.01260000002</v>
      </c>
      <c r="F27" s="280">
        <f t="shared" si="7"/>
        <v>20</v>
      </c>
      <c r="G27" s="222">
        <f t="shared" si="3"/>
        <v>1965912.1152000001</v>
      </c>
      <c r="H27" s="281">
        <f t="shared" si="4"/>
        <v>20</v>
      </c>
      <c r="I27" s="222">
        <f t="shared" si="5"/>
        <v>1050936.0575999999</v>
      </c>
      <c r="J27" s="259">
        <f t="shared" si="6"/>
        <v>853954.95962767571</v>
      </c>
      <c r="K27" s="27">
        <f t="shared" si="0"/>
        <v>4077752.1450276757</v>
      </c>
    </row>
    <row r="28" spans="1:11" x14ac:dyDescent="0.25">
      <c r="A28" s="41" t="s">
        <v>18</v>
      </c>
      <c r="B28" s="279">
        <v>34520.18</v>
      </c>
      <c r="C28" s="39">
        <f>SUM('K '!L29,'1-3 '!J29,'4-6'!J29,'7-8 '!J29,'9-12 '!J29,'Special Ed (Simplified)'!I29,'Special Ed (Goal)'!T30)</f>
        <v>2112.1296814906145</v>
      </c>
      <c r="D28" s="219">
        <f t="shared" si="1"/>
        <v>1</v>
      </c>
      <c r="E28" s="220">
        <f t="shared" si="2"/>
        <v>206949.01260000002</v>
      </c>
      <c r="F28" s="280">
        <f t="shared" si="7"/>
        <v>20</v>
      </c>
      <c r="G28" s="222">
        <f t="shared" si="3"/>
        <v>1965912.1152000001</v>
      </c>
      <c r="H28" s="281">
        <f t="shared" si="4"/>
        <v>20</v>
      </c>
      <c r="I28" s="222">
        <f t="shared" si="5"/>
        <v>1050936.0575999999</v>
      </c>
      <c r="J28" s="259">
        <f t="shared" si="6"/>
        <v>1412571.2096841079</v>
      </c>
      <c r="K28" s="27">
        <f t="shared" si="0"/>
        <v>4636368.3950841073</v>
      </c>
    </row>
    <row r="29" spans="1:11" x14ac:dyDescent="0.25">
      <c r="A29" s="41" t="s">
        <v>19</v>
      </c>
      <c r="B29" s="279">
        <v>1587.18</v>
      </c>
      <c r="C29" s="39">
        <f>SUM('K '!L30,'1-3 '!J30,'4-6'!J30,'7-8 '!J30,'9-12 '!J30,'Special Ed (Simplified)'!I30,'Special Ed (Goal)'!T31)</f>
        <v>106.40035626933674</v>
      </c>
      <c r="D29" s="219">
        <f t="shared" si="1"/>
        <v>1</v>
      </c>
      <c r="E29" s="220">
        <f t="shared" si="2"/>
        <v>206949.01260000002</v>
      </c>
      <c r="F29" s="280">
        <f t="shared" si="7"/>
        <v>6</v>
      </c>
      <c r="G29" s="222">
        <f t="shared" si="3"/>
        <v>589773.63456000003</v>
      </c>
      <c r="H29" s="281">
        <f t="shared" si="4"/>
        <v>6</v>
      </c>
      <c r="I29" s="222">
        <f t="shared" si="5"/>
        <v>315280.81728000002</v>
      </c>
      <c r="J29" s="259">
        <f t="shared" si="6"/>
        <v>71159.494269369708</v>
      </c>
      <c r="K29" s="27">
        <f t="shared" si="0"/>
        <v>1183162.9587093696</v>
      </c>
    </row>
    <row r="30" spans="1:11" x14ac:dyDescent="0.25">
      <c r="A30" s="41" t="s">
        <v>20</v>
      </c>
      <c r="B30" s="279">
        <v>46485.36</v>
      </c>
      <c r="C30" s="39">
        <f>SUM('K '!L31,'1-3 '!J31,'4-6'!J31,'7-8 '!J31,'9-12 '!J31,'Special Ed (Simplified)'!I31,'Special Ed (Goal)'!T32)</f>
        <v>2764.1147514120739</v>
      </c>
      <c r="D30" s="219">
        <f t="shared" si="1"/>
        <v>1</v>
      </c>
      <c r="E30" s="220">
        <f t="shared" si="2"/>
        <v>206949.01260000002</v>
      </c>
      <c r="F30" s="280">
        <f t="shared" si="7"/>
        <v>20</v>
      </c>
      <c r="G30" s="222">
        <f t="shared" si="3"/>
        <v>1965912.1152000001</v>
      </c>
      <c r="H30" s="281">
        <f t="shared" si="4"/>
        <v>20</v>
      </c>
      <c r="I30" s="222">
        <f t="shared" si="5"/>
        <v>1050936.0575999999</v>
      </c>
      <c r="J30" s="259">
        <f t="shared" si="6"/>
        <v>1848612.3045968809</v>
      </c>
      <c r="K30" s="27">
        <f t="shared" si="0"/>
        <v>5072409.4899968803</v>
      </c>
    </row>
    <row r="31" spans="1:11" x14ac:dyDescent="0.25">
      <c r="A31" s="41" t="s">
        <v>21</v>
      </c>
      <c r="B31" s="279">
        <v>8259.2199999999993</v>
      </c>
      <c r="C31" s="39">
        <f>SUM('K '!L32,'1-3 '!J32,'4-6'!J32,'7-8 '!J32,'9-12 '!J32,'Special Ed (Simplified)'!I32,'Special Ed (Goal)'!T33)</f>
        <v>528.80302009104196</v>
      </c>
      <c r="D31" s="219">
        <f t="shared" si="1"/>
        <v>1</v>
      </c>
      <c r="E31" s="220">
        <f t="shared" si="2"/>
        <v>206949.01260000002</v>
      </c>
      <c r="F31" s="280">
        <f t="shared" si="7"/>
        <v>11</v>
      </c>
      <c r="G31" s="222">
        <f t="shared" si="3"/>
        <v>1081251.6633600001</v>
      </c>
      <c r="H31" s="281">
        <f t="shared" si="4"/>
        <v>11</v>
      </c>
      <c r="I31" s="222">
        <f t="shared" si="5"/>
        <v>578014.83168000006</v>
      </c>
      <c r="J31" s="259">
        <f t="shared" si="6"/>
        <v>353658.17180668795</v>
      </c>
      <c r="K31" s="27">
        <f t="shared" si="0"/>
        <v>2219873.6794466879</v>
      </c>
    </row>
    <row r="32" spans="1:11" x14ac:dyDescent="0.25">
      <c r="A32" s="41" t="s">
        <v>22</v>
      </c>
      <c r="B32" s="279">
        <v>4970.04</v>
      </c>
      <c r="C32" s="39">
        <f>SUM('K '!L33,'1-3 '!J33,'4-6'!J33,'7-8 '!J33,'9-12 '!J33,'Special Ed (Simplified)'!I33,'Special Ed (Goal)'!T34)</f>
        <v>323.99397119970934</v>
      </c>
      <c r="D32" s="219">
        <f t="shared" si="1"/>
        <v>1</v>
      </c>
      <c r="E32" s="220">
        <f t="shared" si="2"/>
        <v>206949.01260000002</v>
      </c>
      <c r="F32" s="280">
        <f t="shared" si="7"/>
        <v>6</v>
      </c>
      <c r="G32" s="222">
        <f t="shared" si="3"/>
        <v>589773.63456000003</v>
      </c>
      <c r="H32" s="281">
        <f t="shared" si="4"/>
        <v>6</v>
      </c>
      <c r="I32" s="222">
        <f t="shared" si="5"/>
        <v>315280.81728000002</v>
      </c>
      <c r="J32" s="259">
        <f t="shared" si="6"/>
        <v>216683.92799865358</v>
      </c>
      <c r="K32" s="27">
        <f t="shared" si="0"/>
        <v>1328687.3924386536</v>
      </c>
    </row>
    <row r="33" spans="1:11" x14ac:dyDescent="0.25">
      <c r="A33" s="41" t="s">
        <v>23</v>
      </c>
      <c r="B33" s="279">
        <v>6691.02</v>
      </c>
      <c r="C33" s="39">
        <f>SUM('K '!L34,'1-3 '!J34,'4-6'!J34,'7-8 '!J34,'9-12 '!J34,'Special Ed (Simplified)'!I34,'Special Ed (Goal)'!T35)</f>
        <v>423.81762826024436</v>
      </c>
      <c r="D33" s="219">
        <f t="shared" si="1"/>
        <v>1</v>
      </c>
      <c r="E33" s="220">
        <f t="shared" si="2"/>
        <v>206949.01260000002</v>
      </c>
      <c r="F33" s="280">
        <f t="shared" si="7"/>
        <v>8</v>
      </c>
      <c r="G33" s="222">
        <f t="shared" si="3"/>
        <v>786364.84608000005</v>
      </c>
      <c r="H33" s="281">
        <f t="shared" si="4"/>
        <v>8</v>
      </c>
      <c r="I33" s="222">
        <f t="shared" si="5"/>
        <v>420374.42304000002</v>
      </c>
      <c r="J33" s="259">
        <f t="shared" si="6"/>
        <v>283444.99160416878</v>
      </c>
      <c r="K33" s="27">
        <f t="shared" si="0"/>
        <v>1697133.2733241688</v>
      </c>
    </row>
    <row r="34" spans="1:11" x14ac:dyDescent="0.25">
      <c r="A34" s="41" t="s">
        <v>24</v>
      </c>
      <c r="B34" s="279">
        <v>710.4</v>
      </c>
      <c r="C34" s="39">
        <f>SUM('K '!L35,'1-3 '!J35,'4-6'!J35,'7-8 '!J35,'9-12 '!J35,'Special Ed (Simplified)'!I35,'Special Ed (Goal)'!T36)</f>
        <v>50.999651942508052</v>
      </c>
      <c r="D34" s="219">
        <f t="shared" si="1"/>
        <v>1</v>
      </c>
      <c r="E34" s="220">
        <f t="shared" si="2"/>
        <v>206949.01260000002</v>
      </c>
      <c r="F34" s="280">
        <f t="shared" si="7"/>
        <v>6</v>
      </c>
      <c r="G34" s="222">
        <f t="shared" si="3"/>
        <v>589773.63456000003</v>
      </c>
      <c r="H34" s="281">
        <f t="shared" si="4"/>
        <v>6</v>
      </c>
      <c r="I34" s="222">
        <f t="shared" si="5"/>
        <v>315280.81728000002</v>
      </c>
      <c r="J34" s="259">
        <f t="shared" si="6"/>
        <v>34108.057222629956</v>
      </c>
      <c r="K34" s="27">
        <f t="shared" si="0"/>
        <v>1146111.5216626299</v>
      </c>
    </row>
    <row r="35" spans="1:11" x14ac:dyDescent="0.25">
      <c r="A35" s="41" t="s">
        <v>25</v>
      </c>
      <c r="B35" s="279">
        <v>2753.54</v>
      </c>
      <c r="C35" s="39">
        <f>SUM('K '!L36,'1-3 '!J36,'4-6'!J36,'7-8 '!J36,'9-12 '!J36,'Special Ed (Simplified)'!I36,'Special Ed (Goal)'!T37)</f>
        <v>191.52168271607982</v>
      </c>
      <c r="D35" s="219">
        <f t="shared" si="1"/>
        <v>1</v>
      </c>
      <c r="E35" s="220">
        <f t="shared" si="2"/>
        <v>206949.01260000002</v>
      </c>
      <c r="F35" s="280">
        <f t="shared" si="7"/>
        <v>6</v>
      </c>
      <c r="G35" s="222">
        <f t="shared" si="3"/>
        <v>589773.63456000003</v>
      </c>
      <c r="H35" s="281">
        <f t="shared" si="4"/>
        <v>6</v>
      </c>
      <c r="I35" s="222">
        <f t="shared" si="5"/>
        <v>315280.81728000002</v>
      </c>
      <c r="J35" s="259">
        <f t="shared" si="6"/>
        <v>128087.78618368701</v>
      </c>
      <c r="K35" s="27">
        <f t="shared" si="0"/>
        <v>1240091.2506236869</v>
      </c>
    </row>
    <row r="36" spans="1:11" x14ac:dyDescent="0.25">
      <c r="A36" s="41" t="s">
        <v>26</v>
      </c>
      <c r="B36" s="279">
        <v>1253.3399999999999</v>
      </c>
      <c r="C36" s="39">
        <f>SUM('K '!L37,'1-3 '!J37,'4-6'!J37,'7-8 '!J37,'9-12 '!J37,'Special Ed (Simplified)'!I37,'Special Ed (Goal)'!T38)</f>
        <v>79.075226998598168</v>
      </c>
      <c r="D36" s="219">
        <f t="shared" si="1"/>
        <v>1</v>
      </c>
      <c r="E36" s="220">
        <f t="shared" si="2"/>
        <v>206949.01260000002</v>
      </c>
      <c r="F36" s="280">
        <f t="shared" si="7"/>
        <v>6</v>
      </c>
      <c r="G36" s="222">
        <f t="shared" si="3"/>
        <v>589773.63456000003</v>
      </c>
      <c r="H36" s="281">
        <f t="shared" si="4"/>
        <v>6</v>
      </c>
      <c r="I36" s="222">
        <f t="shared" si="5"/>
        <v>315280.81728000002</v>
      </c>
      <c r="J36" s="259">
        <f t="shared" si="6"/>
        <v>52884.721064392463</v>
      </c>
      <c r="K36" s="27">
        <f t="shared" si="0"/>
        <v>1164888.1855043925</v>
      </c>
    </row>
    <row r="37" spans="1:11" x14ac:dyDescent="0.25">
      <c r="A37" s="41" t="s">
        <v>27</v>
      </c>
      <c r="B37" s="279">
        <v>5263.6</v>
      </c>
      <c r="C37" s="39">
        <f>SUM('K '!L38,'1-3 '!J38,'4-6'!J38,'7-8 '!J38,'9-12 '!J38,'Special Ed (Simplified)'!I38,'Special Ed (Goal)'!T39)</f>
        <v>356.3103139110159</v>
      </c>
      <c r="D37" s="219">
        <f t="shared" si="1"/>
        <v>1</v>
      </c>
      <c r="E37" s="220">
        <f t="shared" si="2"/>
        <v>206949.01260000002</v>
      </c>
      <c r="F37" s="280">
        <f t="shared" si="7"/>
        <v>6</v>
      </c>
      <c r="G37" s="222">
        <f t="shared" si="3"/>
        <v>589773.63456000003</v>
      </c>
      <c r="H37" s="281">
        <f t="shared" si="4"/>
        <v>6</v>
      </c>
      <c r="I37" s="222">
        <f t="shared" si="5"/>
        <v>315280.81728000002</v>
      </c>
      <c r="J37" s="259">
        <f t="shared" si="6"/>
        <v>238296.77484054831</v>
      </c>
      <c r="K37" s="27">
        <f t="shared" si="0"/>
        <v>1350300.2392805484</v>
      </c>
    </row>
    <row r="38" spans="1:11" x14ac:dyDescent="0.25">
      <c r="A38" s="41" t="s">
        <v>28</v>
      </c>
      <c r="B38" s="279">
        <v>9606.7099999999991</v>
      </c>
      <c r="C38" s="39">
        <f>SUM('K '!L39,'1-3 '!J39,'4-6'!J39,'7-8 '!J39,'9-12 '!J39,'Special Ed (Simplified)'!I39,'Special Ed (Goal)'!T40)</f>
        <v>628.57094535922454</v>
      </c>
      <c r="D38" s="219">
        <f t="shared" si="1"/>
        <v>1</v>
      </c>
      <c r="E38" s="220">
        <f t="shared" si="2"/>
        <v>206949.01260000002</v>
      </c>
      <c r="F38" s="280">
        <f t="shared" si="7"/>
        <v>13</v>
      </c>
      <c r="G38" s="222">
        <f t="shared" si="3"/>
        <v>1277842.87488</v>
      </c>
      <c r="H38" s="281">
        <f t="shared" si="4"/>
        <v>13</v>
      </c>
      <c r="I38" s="222">
        <f t="shared" si="5"/>
        <v>683108.43744000001</v>
      </c>
      <c r="J38" s="259">
        <f t="shared" si="6"/>
        <v>420381.96254679578</v>
      </c>
      <c r="K38" s="27">
        <f t="shared" si="0"/>
        <v>2588282.2874667956</v>
      </c>
    </row>
    <row r="39" spans="1:11" x14ac:dyDescent="0.25">
      <c r="A39" s="41" t="s">
        <v>29</v>
      </c>
      <c r="B39" s="279">
        <v>1528.03</v>
      </c>
      <c r="C39" s="39">
        <f>SUM('K '!L40,'1-3 '!J40,'4-6'!J40,'7-8 '!J40,'9-12 '!J40,'Special Ed (Simplified)'!I40,'Special Ed (Goal)'!T41)</f>
        <v>96.869535627030857</v>
      </c>
      <c r="D39" s="219">
        <f t="shared" si="1"/>
        <v>1</v>
      </c>
      <c r="E39" s="220">
        <f t="shared" si="2"/>
        <v>206949.01260000002</v>
      </c>
      <c r="F39" s="280">
        <f t="shared" si="7"/>
        <v>6</v>
      </c>
      <c r="G39" s="222">
        <f t="shared" si="3"/>
        <v>589773.63456000003</v>
      </c>
      <c r="H39" s="281">
        <f t="shared" si="4"/>
        <v>6</v>
      </c>
      <c r="I39" s="222">
        <f t="shared" si="5"/>
        <v>315280.81728000002</v>
      </c>
      <c r="J39" s="259">
        <f t="shared" si="6"/>
        <v>64785.376732001961</v>
      </c>
      <c r="K39" s="27">
        <f t="shared" si="0"/>
        <v>1176788.841172002</v>
      </c>
    </row>
    <row r="40" spans="1:11" x14ac:dyDescent="0.25">
      <c r="A40" s="41" t="s">
        <v>30</v>
      </c>
      <c r="B40" s="279">
        <v>3982.19</v>
      </c>
      <c r="C40" s="39">
        <f>SUM('K '!L41,'1-3 '!J41,'4-6'!J41,'7-8 '!J41,'9-12 '!J41,'Special Ed (Simplified)'!I41,'Special Ed (Goal)'!T42)</f>
        <v>254.62900691202441</v>
      </c>
      <c r="D40" s="219">
        <f t="shared" si="1"/>
        <v>1</v>
      </c>
      <c r="E40" s="220">
        <f t="shared" si="2"/>
        <v>206949.01260000002</v>
      </c>
      <c r="F40" s="280">
        <f t="shared" si="7"/>
        <v>6</v>
      </c>
      <c r="G40" s="222">
        <f t="shared" si="3"/>
        <v>589773.63456000003</v>
      </c>
      <c r="H40" s="281">
        <f t="shared" si="4"/>
        <v>6</v>
      </c>
      <c r="I40" s="222">
        <f t="shared" si="5"/>
        <v>315280.81728000002</v>
      </c>
      <c r="J40" s="259">
        <f t="shared" si="6"/>
        <v>170293.33353269281</v>
      </c>
      <c r="K40" s="27">
        <f t="shared" si="0"/>
        <v>1282296.7979726929</v>
      </c>
    </row>
    <row r="41" spans="1:11" x14ac:dyDescent="0.25">
      <c r="A41" s="41" t="s">
        <v>31</v>
      </c>
      <c r="B41" s="279">
        <v>25440.37</v>
      </c>
      <c r="C41" s="39">
        <f>SUM('K '!L42,'1-3 '!J42,'4-6'!J42,'7-8 '!J42,'9-12 '!J42,'Special Ed (Simplified)'!I42,'Special Ed (Goal)'!T43)</f>
        <v>1527.730696952847</v>
      </c>
      <c r="D41" s="219">
        <f t="shared" si="1"/>
        <v>1</v>
      </c>
      <c r="E41" s="220">
        <f t="shared" si="2"/>
        <v>206949.01260000002</v>
      </c>
      <c r="F41" s="280">
        <f t="shared" si="7"/>
        <v>20</v>
      </c>
      <c r="G41" s="222">
        <f t="shared" si="3"/>
        <v>1965912.1152000001</v>
      </c>
      <c r="H41" s="281">
        <f t="shared" si="4"/>
        <v>20</v>
      </c>
      <c r="I41" s="222">
        <f t="shared" si="5"/>
        <v>1050936.0575999999</v>
      </c>
      <c r="J41" s="259">
        <f t="shared" si="6"/>
        <v>1021731.0128150944</v>
      </c>
      <c r="K41" s="27">
        <f t="shared" si="0"/>
        <v>4245528.1982150944</v>
      </c>
    </row>
    <row r="42" spans="1:11" x14ac:dyDescent="0.25">
      <c r="A42" s="41" t="s">
        <v>32</v>
      </c>
      <c r="B42" s="279">
        <v>2145.29</v>
      </c>
      <c r="C42" s="39">
        <f>SUM('K '!L43,'1-3 '!J43,'4-6'!J43,'7-8 '!J43,'9-12 '!J43,'Special Ed (Simplified)'!I43,'Special Ed (Goal)'!T44)</f>
        <v>146.11211686524993</v>
      </c>
      <c r="D42" s="219">
        <f t="shared" si="1"/>
        <v>1</v>
      </c>
      <c r="E42" s="220">
        <f t="shared" si="2"/>
        <v>206949.01260000002</v>
      </c>
      <c r="F42" s="280">
        <f t="shared" si="7"/>
        <v>6</v>
      </c>
      <c r="G42" s="222">
        <f t="shared" si="3"/>
        <v>589773.63456000003</v>
      </c>
      <c r="H42" s="281">
        <f t="shared" si="4"/>
        <v>6</v>
      </c>
      <c r="I42" s="222">
        <f t="shared" si="5"/>
        <v>315280.81728000002</v>
      </c>
      <c r="J42" s="259">
        <f t="shared" si="6"/>
        <v>97718.322638310492</v>
      </c>
      <c r="K42" s="27">
        <f t="shared" si="0"/>
        <v>1209721.7870783105</v>
      </c>
    </row>
    <row r="43" spans="1:11" x14ac:dyDescent="0.25">
      <c r="A43" s="41" t="s">
        <v>33</v>
      </c>
      <c r="B43" s="279">
        <v>3224.83</v>
      </c>
      <c r="C43" s="39">
        <f>SUM('K '!L44,'1-3 '!J44,'4-6'!J44,'7-8 '!J44,'9-12 '!J44,'Special Ed (Simplified)'!I44,'Special Ed (Goal)'!T45)</f>
        <v>201.0773132284817</v>
      </c>
      <c r="D43" s="219">
        <f t="shared" si="1"/>
        <v>1</v>
      </c>
      <c r="E43" s="220">
        <f t="shared" si="2"/>
        <v>206949.01260000002</v>
      </c>
      <c r="F43" s="280">
        <f t="shared" si="7"/>
        <v>6</v>
      </c>
      <c r="G43" s="222">
        <f t="shared" si="3"/>
        <v>589773.63456000003</v>
      </c>
      <c r="H43" s="281">
        <f t="shared" si="4"/>
        <v>6</v>
      </c>
      <c r="I43" s="222">
        <f t="shared" si="5"/>
        <v>315280.81728000002</v>
      </c>
      <c r="J43" s="259">
        <f t="shared" si="6"/>
        <v>134478.49631407627</v>
      </c>
      <c r="K43" s="27">
        <f t="shared" si="0"/>
        <v>1246481.9607540763</v>
      </c>
    </row>
    <row r="44" spans="1:11" x14ac:dyDescent="0.25">
      <c r="A44" s="41" t="s">
        <v>34</v>
      </c>
      <c r="B44" s="279">
        <v>2373.3200000000002</v>
      </c>
      <c r="C44" s="39">
        <f>SUM('K '!L45,'1-3 '!J45,'4-6'!J45,'7-8 '!J45,'9-12 '!J45,'Special Ed (Simplified)'!I45,'Special Ed (Goal)'!T46)</f>
        <v>161.6371638829703</v>
      </c>
      <c r="D44" s="219">
        <f t="shared" si="1"/>
        <v>1</v>
      </c>
      <c r="E44" s="220">
        <f t="shared" si="2"/>
        <v>206949.01260000002</v>
      </c>
      <c r="F44" s="280">
        <f t="shared" si="7"/>
        <v>6</v>
      </c>
      <c r="G44" s="222">
        <f t="shared" si="3"/>
        <v>589773.63456000003</v>
      </c>
      <c r="H44" s="281">
        <f t="shared" si="4"/>
        <v>6</v>
      </c>
      <c r="I44" s="222">
        <f t="shared" si="5"/>
        <v>315280.81728000002</v>
      </c>
      <c r="J44" s="259">
        <f t="shared" si="6"/>
        <v>108101.31883329171</v>
      </c>
      <c r="K44" s="27">
        <f t="shared" si="0"/>
        <v>1220104.7832732918</v>
      </c>
    </row>
    <row r="45" spans="1:11" x14ac:dyDescent="0.25">
      <c r="A45" s="41" t="s">
        <v>35</v>
      </c>
      <c r="B45" s="279">
        <v>15667.43</v>
      </c>
      <c r="C45" s="39">
        <f>SUM('K '!L46,'1-3 '!J46,'4-6'!J46,'7-8 '!J46,'9-12 '!J46,'Special Ed (Simplified)'!I46,'Special Ed (Goal)'!T47)</f>
        <v>1012.3163260333185</v>
      </c>
      <c r="D45" s="219">
        <f t="shared" si="1"/>
        <v>1</v>
      </c>
      <c r="E45" s="220">
        <f t="shared" si="2"/>
        <v>206949.01260000002</v>
      </c>
      <c r="F45" s="280">
        <f t="shared" si="7"/>
        <v>20</v>
      </c>
      <c r="G45" s="222">
        <f t="shared" si="3"/>
        <v>1965912.1152000001</v>
      </c>
      <c r="H45" s="281">
        <f t="shared" si="4"/>
        <v>20</v>
      </c>
      <c r="I45" s="222">
        <f t="shared" si="5"/>
        <v>1050936.0575999999</v>
      </c>
      <c r="J45" s="259">
        <f t="shared" si="6"/>
        <v>677027.03568782308</v>
      </c>
      <c r="K45" s="27">
        <f t="shared" si="0"/>
        <v>3900824.2210878227</v>
      </c>
    </row>
    <row r="46" spans="1:11" x14ac:dyDescent="0.25">
      <c r="A46" s="41" t="s">
        <v>36</v>
      </c>
      <c r="B46" s="279">
        <v>1091.3900000000001</v>
      </c>
      <c r="C46" s="39">
        <f>SUM('K '!L47,'1-3 '!J47,'4-6'!J47,'7-8 '!J47,'9-12 '!J47,'Special Ed (Simplified)'!I47,'Special Ed (Goal)'!T48)</f>
        <v>72.559771072292165</v>
      </c>
      <c r="D46" s="219">
        <f t="shared" si="1"/>
        <v>1</v>
      </c>
      <c r="E46" s="220">
        <f t="shared" si="2"/>
        <v>206949.01260000002</v>
      </c>
      <c r="F46" s="280">
        <f t="shared" si="7"/>
        <v>6</v>
      </c>
      <c r="G46" s="222">
        <f t="shared" si="3"/>
        <v>589773.63456000003</v>
      </c>
      <c r="H46" s="281">
        <f t="shared" si="4"/>
        <v>6</v>
      </c>
      <c r="I46" s="222">
        <f t="shared" ref="I46:I77" si="8">($F$4+$F$5+$F$6)*H46</f>
        <v>315280.81728000002</v>
      </c>
      <c r="J46" s="259">
        <f t="shared" ref="J46:J77" si="9">$J$4*$J$7*C46</f>
        <v>48527.249295438276</v>
      </c>
      <c r="K46" s="27">
        <f t="shared" ref="K46:K77" si="10">E46+G46+I46+J46</f>
        <v>1160530.7137354382</v>
      </c>
    </row>
    <row r="47" spans="1:11" x14ac:dyDescent="0.25">
      <c r="A47" s="41" t="s">
        <v>37</v>
      </c>
      <c r="B47" s="279">
        <v>3269.06</v>
      </c>
      <c r="C47" s="39">
        <f>SUM('K '!L48,'1-3 '!J48,'4-6'!J48,'7-8 '!J48,'9-12 '!J48,'Special Ed (Simplified)'!I48,'Special Ed (Goal)'!T49)</f>
        <v>229.38585763442126</v>
      </c>
      <c r="D47" s="219">
        <f t="shared" si="1"/>
        <v>1</v>
      </c>
      <c r="E47" s="220">
        <f t="shared" si="2"/>
        <v>206949.01260000002</v>
      </c>
      <c r="F47" s="280">
        <f t="shared" si="7"/>
        <v>6</v>
      </c>
      <c r="G47" s="222">
        <f t="shared" si="3"/>
        <v>589773.63456000003</v>
      </c>
      <c r="H47" s="281">
        <f t="shared" si="4"/>
        <v>6</v>
      </c>
      <c r="I47" s="222">
        <f t="shared" si="8"/>
        <v>315280.81728000002</v>
      </c>
      <c r="J47" s="259">
        <f t="shared" si="9"/>
        <v>153410.96772732458</v>
      </c>
      <c r="K47" s="27">
        <f t="shared" si="10"/>
        <v>1265414.4321673247</v>
      </c>
    </row>
    <row r="48" spans="1:11" x14ac:dyDescent="0.25">
      <c r="A48" s="41" t="s">
        <v>38</v>
      </c>
      <c r="B48" s="279">
        <v>656.05</v>
      </c>
      <c r="C48" s="39">
        <f>SUM('K '!L49,'1-3 '!J49,'4-6'!J49,'7-8 '!J49,'9-12 '!J49,'Special Ed (Simplified)'!I49,'Special Ed (Goal)'!T50)</f>
        <v>47.00309232669801</v>
      </c>
      <c r="D48" s="219">
        <f t="shared" si="1"/>
        <v>1</v>
      </c>
      <c r="E48" s="220">
        <f t="shared" si="2"/>
        <v>206949.01260000002</v>
      </c>
      <c r="F48" s="280">
        <f t="shared" si="7"/>
        <v>6</v>
      </c>
      <c r="G48" s="222">
        <f t="shared" si="3"/>
        <v>589773.63456000003</v>
      </c>
      <c r="H48" s="281">
        <f t="shared" si="4"/>
        <v>6</v>
      </c>
      <c r="I48" s="222">
        <f t="shared" si="8"/>
        <v>315280.81728000002</v>
      </c>
      <c r="J48" s="259">
        <f t="shared" si="9"/>
        <v>31435.19811717236</v>
      </c>
      <c r="K48" s="27">
        <f t="shared" si="10"/>
        <v>1143438.6625571724</v>
      </c>
    </row>
    <row r="49" spans="1:11" x14ac:dyDescent="0.25">
      <c r="A49" s="41" t="s">
        <v>39</v>
      </c>
      <c r="B49" s="279">
        <v>1181.8699999999999</v>
      </c>
      <c r="C49" s="39">
        <f>SUM('K '!L50,'1-3 '!J50,'4-6'!J50,'7-8 '!J50,'9-12 '!J50,'Special Ed (Simplified)'!I50,'Special Ed (Goal)'!T51)</f>
        <v>80.357223320349661</v>
      </c>
      <c r="D49" s="219">
        <f t="shared" si="1"/>
        <v>1</v>
      </c>
      <c r="E49" s="220">
        <f t="shared" si="2"/>
        <v>206949.01260000002</v>
      </c>
      <c r="F49" s="280">
        <f t="shared" si="7"/>
        <v>6</v>
      </c>
      <c r="G49" s="222">
        <f t="shared" si="3"/>
        <v>589773.63456000003</v>
      </c>
      <c r="H49" s="281">
        <f t="shared" si="4"/>
        <v>6</v>
      </c>
      <c r="I49" s="222">
        <f t="shared" si="8"/>
        <v>315280.81728000002</v>
      </c>
      <c r="J49" s="259">
        <f t="shared" si="9"/>
        <v>53742.107384416646</v>
      </c>
      <c r="K49" s="27">
        <f t="shared" si="10"/>
        <v>1165745.5718244168</v>
      </c>
    </row>
    <row r="50" spans="1:11" x14ac:dyDescent="0.25">
      <c r="A50" s="41" t="s">
        <v>40</v>
      </c>
      <c r="B50" s="279">
        <v>8929.7900000000009</v>
      </c>
      <c r="C50" s="39">
        <f>SUM('K '!L51,'1-3 '!J51,'4-6'!J51,'7-8 '!J51,'9-12 '!J51,'Special Ed (Simplified)'!I51,'Special Ed (Goal)'!T52)</f>
        <v>578.11903723727858</v>
      </c>
      <c r="D50" s="219">
        <f t="shared" si="1"/>
        <v>1</v>
      </c>
      <c r="E50" s="220">
        <f t="shared" si="2"/>
        <v>206949.01260000002</v>
      </c>
      <c r="F50" s="280">
        <f t="shared" si="7"/>
        <v>12</v>
      </c>
      <c r="G50" s="222">
        <f t="shared" si="3"/>
        <v>1179547.2691200001</v>
      </c>
      <c r="H50" s="281">
        <f t="shared" si="4"/>
        <v>12</v>
      </c>
      <c r="I50" s="222">
        <f t="shared" si="8"/>
        <v>630561.63456000003</v>
      </c>
      <c r="J50" s="259">
        <f t="shared" si="9"/>
        <v>386640.23091391951</v>
      </c>
      <c r="K50" s="27">
        <f t="shared" si="10"/>
        <v>2403698.1471939194</v>
      </c>
    </row>
    <row r="51" spans="1:11" x14ac:dyDescent="0.25">
      <c r="A51" s="41" t="s">
        <v>41</v>
      </c>
      <c r="B51" s="279">
        <v>74161.66</v>
      </c>
      <c r="C51" s="39">
        <f>SUM('K '!L52,'1-3 '!J52,'4-6'!J52,'7-8 '!J52,'9-12 '!J52,'Special Ed (Simplified)'!I52,'Special Ed (Goal)'!T53)</f>
        <v>4623.1873666764677</v>
      </c>
      <c r="D51" s="219">
        <f t="shared" si="1"/>
        <v>1</v>
      </c>
      <c r="E51" s="220">
        <f t="shared" si="2"/>
        <v>206949.01260000002</v>
      </c>
      <c r="F51" s="280">
        <f t="shared" si="7"/>
        <v>20</v>
      </c>
      <c r="G51" s="222">
        <f t="shared" si="3"/>
        <v>1965912.1152000001</v>
      </c>
      <c r="H51" s="281">
        <f t="shared" si="4"/>
        <v>20</v>
      </c>
      <c r="I51" s="222">
        <f t="shared" si="8"/>
        <v>1050936.0575999999</v>
      </c>
      <c r="J51" s="259">
        <f t="shared" si="9"/>
        <v>3091941.4789595548</v>
      </c>
      <c r="K51" s="27">
        <f t="shared" si="10"/>
        <v>6315738.6643595546</v>
      </c>
    </row>
    <row r="52" spans="1:11" x14ac:dyDescent="0.25">
      <c r="A52" s="41" t="s">
        <v>42</v>
      </c>
      <c r="B52" s="279">
        <v>8515.0300000000007</v>
      </c>
      <c r="C52" s="39">
        <f>SUM('K '!L53,'1-3 '!J53,'4-6'!J53,'7-8 '!J53,'9-12 '!J53,'Special Ed (Simplified)'!I53,'Special Ed (Goal)'!T54)</f>
        <v>538.57928580357475</v>
      </c>
      <c r="D52" s="219">
        <f t="shared" si="1"/>
        <v>1</v>
      </c>
      <c r="E52" s="220">
        <f t="shared" si="2"/>
        <v>206949.01260000002</v>
      </c>
      <c r="F52" s="280">
        <f t="shared" si="7"/>
        <v>11</v>
      </c>
      <c r="G52" s="222">
        <f t="shared" si="3"/>
        <v>1081251.6633600001</v>
      </c>
      <c r="H52" s="281">
        <f t="shared" si="4"/>
        <v>11</v>
      </c>
      <c r="I52" s="222">
        <f t="shared" si="8"/>
        <v>578014.83168000006</v>
      </c>
      <c r="J52" s="259">
        <f t="shared" si="9"/>
        <v>360196.44055257272</v>
      </c>
      <c r="K52" s="27">
        <f t="shared" si="10"/>
        <v>2226411.9481925732</v>
      </c>
    </row>
    <row r="53" spans="1:11" x14ac:dyDescent="0.25">
      <c r="A53" s="41" t="s">
        <v>43</v>
      </c>
      <c r="B53" s="279">
        <v>898.58</v>
      </c>
      <c r="C53" s="39">
        <f>SUM('K '!L54,'1-3 '!J54,'4-6'!J54,'7-8 '!J54,'9-12 '!J54,'Special Ed (Simplified)'!I54,'Special Ed (Goal)'!T55)</f>
        <v>59.831890812739687</v>
      </c>
      <c r="D53" s="219">
        <f t="shared" si="1"/>
        <v>1</v>
      </c>
      <c r="E53" s="220">
        <f t="shared" si="2"/>
        <v>206949.01260000002</v>
      </c>
      <c r="F53" s="280">
        <f t="shared" si="7"/>
        <v>6</v>
      </c>
      <c r="G53" s="222">
        <f t="shared" si="3"/>
        <v>589773.63456000003</v>
      </c>
      <c r="H53" s="281">
        <f t="shared" si="4"/>
        <v>6</v>
      </c>
      <c r="I53" s="222">
        <f t="shared" si="8"/>
        <v>315280.81728000002</v>
      </c>
      <c r="J53" s="259">
        <f t="shared" si="9"/>
        <v>40014.970256652174</v>
      </c>
      <c r="K53" s="27">
        <f t="shared" si="10"/>
        <v>1152018.4346966522</v>
      </c>
    </row>
    <row r="54" spans="1:11" x14ac:dyDescent="0.25">
      <c r="A54" s="41" t="s">
        <v>44</v>
      </c>
      <c r="B54" s="279">
        <v>1516.32</v>
      </c>
      <c r="C54" s="39">
        <f>SUM('K '!L55,'1-3 '!J55,'4-6'!J55,'7-8 '!J55,'9-12 '!J55,'Special Ed (Simplified)'!I55,'Special Ed (Goal)'!T56)</f>
        <v>94.092821757973198</v>
      </c>
      <c r="D54" s="219">
        <f t="shared" si="1"/>
        <v>1</v>
      </c>
      <c r="E54" s="220">
        <f t="shared" si="2"/>
        <v>206949.01260000002</v>
      </c>
      <c r="F54" s="280">
        <f t="shared" si="7"/>
        <v>6</v>
      </c>
      <c r="G54" s="222">
        <f t="shared" si="3"/>
        <v>589773.63456000003</v>
      </c>
      <c r="H54" s="281">
        <f t="shared" si="4"/>
        <v>6</v>
      </c>
      <c r="I54" s="222">
        <f t="shared" si="8"/>
        <v>315280.81728000002</v>
      </c>
      <c r="J54" s="259">
        <f t="shared" si="9"/>
        <v>62928.338263514888</v>
      </c>
      <c r="K54" s="27">
        <f t="shared" si="10"/>
        <v>1174931.8027035149</v>
      </c>
    </row>
    <row r="55" spans="1:11" x14ac:dyDescent="0.25">
      <c r="A55" s="41" t="s">
        <v>45</v>
      </c>
      <c r="B55" s="279">
        <v>2087.65</v>
      </c>
      <c r="C55" s="39">
        <f>SUM('K '!L56,'1-3 '!J56,'4-6'!J56,'7-8 '!J56,'9-12 '!J56,'Special Ed (Simplified)'!I56,'Special Ed (Goal)'!T57)</f>
        <v>132.80214293607324</v>
      </c>
      <c r="D55" s="219">
        <f t="shared" si="1"/>
        <v>1</v>
      </c>
      <c r="E55" s="220">
        <f t="shared" si="2"/>
        <v>206949.01260000002</v>
      </c>
      <c r="F55" s="280">
        <f t="shared" si="7"/>
        <v>6</v>
      </c>
      <c r="G55" s="222">
        <f t="shared" si="3"/>
        <v>589773.63456000003</v>
      </c>
      <c r="H55" s="281">
        <f t="shared" si="4"/>
        <v>6</v>
      </c>
      <c r="I55" s="222">
        <f t="shared" si="8"/>
        <v>315280.81728000002</v>
      </c>
      <c r="J55" s="259">
        <f t="shared" si="9"/>
        <v>88816.745174216412</v>
      </c>
      <c r="K55" s="27">
        <f t="shared" si="10"/>
        <v>1200820.2096142164</v>
      </c>
    </row>
    <row r="56" spans="1:11" x14ac:dyDescent="0.25">
      <c r="A56" s="41" t="s">
        <v>46</v>
      </c>
      <c r="B56" s="279">
        <v>662.1</v>
      </c>
      <c r="C56" s="39">
        <f>SUM('K '!L57,'1-3 '!J57,'4-6'!J57,'7-8 '!J57,'9-12 '!J57,'Special Ed (Simplified)'!I57,'Special Ed (Goal)'!T58)</f>
        <v>46.417643808441795</v>
      </c>
      <c r="D56" s="219">
        <f t="shared" si="1"/>
        <v>1</v>
      </c>
      <c r="E56" s="220">
        <f t="shared" si="2"/>
        <v>206949.01260000002</v>
      </c>
      <c r="F56" s="280">
        <f t="shared" si="7"/>
        <v>6</v>
      </c>
      <c r="G56" s="222">
        <f t="shared" si="3"/>
        <v>589773.63456000003</v>
      </c>
      <c r="H56" s="281">
        <f t="shared" si="4"/>
        <v>6</v>
      </c>
      <c r="I56" s="222">
        <f t="shared" si="8"/>
        <v>315280.81728000002</v>
      </c>
      <c r="J56" s="259">
        <f t="shared" si="9"/>
        <v>31043.656002647785</v>
      </c>
      <c r="K56" s="27">
        <f t="shared" si="10"/>
        <v>1143047.1204426477</v>
      </c>
    </row>
    <row r="57" spans="1:11" x14ac:dyDescent="0.25">
      <c r="A57" s="41" t="s">
        <v>47</v>
      </c>
      <c r="B57" s="279">
        <v>43529.94</v>
      </c>
      <c r="C57" s="39">
        <f>SUM('K '!L58,'1-3 '!J58,'4-6'!J58,'7-8 '!J58,'9-12 '!J58,'Special Ed (Simplified)'!I58,'Special Ed (Goal)'!T59)</f>
        <v>2762.3715365825342</v>
      </c>
      <c r="D57" s="219">
        <f t="shared" si="1"/>
        <v>1</v>
      </c>
      <c r="E57" s="220">
        <f t="shared" si="2"/>
        <v>206949.01260000002</v>
      </c>
      <c r="F57" s="280">
        <f t="shared" si="7"/>
        <v>20</v>
      </c>
      <c r="G57" s="222">
        <f t="shared" si="3"/>
        <v>1965912.1152000001</v>
      </c>
      <c r="H57" s="281">
        <f t="shared" si="4"/>
        <v>20</v>
      </c>
      <c r="I57" s="222">
        <f t="shared" si="8"/>
        <v>1050936.0575999999</v>
      </c>
      <c r="J57" s="259">
        <f t="shared" si="9"/>
        <v>1847446.4599510329</v>
      </c>
      <c r="K57" s="27">
        <f t="shared" si="10"/>
        <v>5071243.6453510327</v>
      </c>
    </row>
    <row r="58" spans="1:11" x14ac:dyDescent="0.25">
      <c r="A58" s="41" t="s">
        <v>48</v>
      </c>
      <c r="B58" s="279">
        <v>2404.8000000000002</v>
      </c>
      <c r="C58" s="39">
        <f>SUM('K '!L59,'1-3 '!J59,'4-6'!J59,'7-8 '!J59,'9-12 '!J59,'Special Ed (Simplified)'!I59,'Special Ed (Goal)'!T60)</f>
        <v>157.47193263687396</v>
      </c>
      <c r="D58" s="219">
        <f t="shared" si="1"/>
        <v>1</v>
      </c>
      <c r="E58" s="220">
        <f t="shared" si="2"/>
        <v>206949.01260000002</v>
      </c>
      <c r="F58" s="280">
        <f t="shared" si="7"/>
        <v>6</v>
      </c>
      <c r="G58" s="222">
        <f t="shared" si="3"/>
        <v>589773.63456000003</v>
      </c>
      <c r="H58" s="281">
        <f t="shared" si="4"/>
        <v>6</v>
      </c>
      <c r="I58" s="222">
        <f t="shared" si="8"/>
        <v>315280.81728000002</v>
      </c>
      <c r="J58" s="259">
        <f t="shared" si="9"/>
        <v>105315.65382821493</v>
      </c>
      <c r="K58" s="27">
        <f t="shared" si="10"/>
        <v>1217319.1182682149</v>
      </c>
    </row>
    <row r="59" spans="1:11" x14ac:dyDescent="0.25">
      <c r="A59" s="41" t="s">
        <v>49</v>
      </c>
      <c r="B59" s="279">
        <v>10525.82</v>
      </c>
      <c r="C59" s="39">
        <f>SUM('K '!L60,'1-3 '!J60,'4-6'!J60,'7-8 '!J60,'9-12 '!J60,'Special Ed (Simplified)'!I60,'Special Ed (Goal)'!T61)</f>
        <v>658.74124712308719</v>
      </c>
      <c r="D59" s="219">
        <f t="shared" si="1"/>
        <v>1</v>
      </c>
      <c r="E59" s="220">
        <f t="shared" si="2"/>
        <v>206949.01260000002</v>
      </c>
      <c r="F59" s="280">
        <f t="shared" si="7"/>
        <v>14</v>
      </c>
      <c r="G59" s="222">
        <f t="shared" si="3"/>
        <v>1376138.4806400002</v>
      </c>
      <c r="H59" s="281">
        <f t="shared" si="4"/>
        <v>14</v>
      </c>
      <c r="I59" s="222">
        <f t="shared" si="8"/>
        <v>735655.2403200001</v>
      </c>
      <c r="J59" s="259">
        <f t="shared" si="9"/>
        <v>440559.55866344948</v>
      </c>
      <c r="K59" s="27">
        <f t="shared" si="10"/>
        <v>2759302.2922234498</v>
      </c>
    </row>
    <row r="60" spans="1:11" x14ac:dyDescent="0.25">
      <c r="A60" s="41" t="s">
        <v>50</v>
      </c>
      <c r="B60" s="279">
        <v>13258.42</v>
      </c>
      <c r="C60" s="39">
        <f>SUM('K '!L61,'1-3 '!J61,'4-6'!J61,'7-8 '!J61,'9-12 '!J61,'Special Ed (Simplified)'!I61,'Special Ed (Goal)'!T62)</f>
        <v>823.22719537790726</v>
      </c>
      <c r="D60" s="219">
        <f t="shared" si="1"/>
        <v>1</v>
      </c>
      <c r="E60" s="220">
        <f t="shared" si="2"/>
        <v>206949.01260000002</v>
      </c>
      <c r="F60" s="280">
        <f t="shared" si="7"/>
        <v>19</v>
      </c>
      <c r="G60" s="222">
        <f t="shared" si="3"/>
        <v>1867616.5094400002</v>
      </c>
      <c r="H60" s="281">
        <f t="shared" si="4"/>
        <v>19</v>
      </c>
      <c r="I60" s="222">
        <f t="shared" si="8"/>
        <v>998389.25472000008</v>
      </c>
      <c r="J60" s="259">
        <f t="shared" si="9"/>
        <v>550566.11599679058</v>
      </c>
      <c r="K60" s="27">
        <f t="shared" si="10"/>
        <v>3623520.8927567909</v>
      </c>
    </row>
    <row r="61" spans="1:11" x14ac:dyDescent="0.25">
      <c r="A61" s="41" t="s">
        <v>51</v>
      </c>
      <c r="B61" s="279">
        <v>5388.16</v>
      </c>
      <c r="C61" s="39">
        <f>SUM('K '!L62,'1-3 '!J62,'4-6'!J62,'7-8 '!J62,'9-12 '!J62,'Special Ed (Simplified)'!I62,'Special Ed (Goal)'!T63)</f>
        <v>354.41748622057878</v>
      </c>
      <c r="D61" s="219">
        <f t="shared" si="1"/>
        <v>1</v>
      </c>
      <c r="E61" s="220">
        <f t="shared" si="2"/>
        <v>206949.01260000002</v>
      </c>
      <c r="F61" s="280">
        <f t="shared" si="7"/>
        <v>6</v>
      </c>
      <c r="G61" s="222">
        <f t="shared" si="3"/>
        <v>589773.63456000003</v>
      </c>
      <c r="H61" s="281">
        <f t="shared" si="4"/>
        <v>6</v>
      </c>
      <c r="I61" s="222">
        <f t="shared" si="8"/>
        <v>315280.81728000002</v>
      </c>
      <c r="J61" s="259">
        <f t="shared" si="9"/>
        <v>237030.87060946086</v>
      </c>
      <c r="K61" s="27">
        <f t="shared" si="10"/>
        <v>1349034.3350494609</v>
      </c>
    </row>
    <row r="62" spans="1:11" x14ac:dyDescent="0.25">
      <c r="A62" s="41" t="s">
        <v>52</v>
      </c>
      <c r="B62" s="279">
        <v>2979.52</v>
      </c>
      <c r="C62" s="39">
        <f>SUM('K '!L63,'1-3 '!J63,'4-6'!J63,'7-8 '!J63,'9-12 '!J63,'Special Ed (Simplified)'!I63,'Special Ed (Goal)'!T64)</f>
        <v>204.268289794861</v>
      </c>
      <c r="D62" s="219">
        <f t="shared" si="1"/>
        <v>1</v>
      </c>
      <c r="E62" s="220">
        <f t="shared" si="2"/>
        <v>206949.01260000002</v>
      </c>
      <c r="F62" s="280">
        <f t="shared" si="7"/>
        <v>6</v>
      </c>
      <c r="G62" s="222">
        <f t="shared" si="3"/>
        <v>589773.63456000003</v>
      </c>
      <c r="H62" s="281">
        <f t="shared" si="4"/>
        <v>6</v>
      </c>
      <c r="I62" s="222">
        <f t="shared" si="8"/>
        <v>315280.81728000002</v>
      </c>
      <c r="J62" s="259">
        <f t="shared" si="9"/>
        <v>136612.58953190508</v>
      </c>
      <c r="K62" s="27">
        <f t="shared" si="10"/>
        <v>1248616.053971905</v>
      </c>
    </row>
    <row r="63" spans="1:11" x14ac:dyDescent="0.25">
      <c r="A63" s="41" t="s">
        <v>53</v>
      </c>
      <c r="B63" s="279">
        <v>1729.85</v>
      </c>
      <c r="C63" s="39">
        <f>SUM('K '!L64,'1-3 '!J64,'4-6'!J64,'7-8 '!J64,'9-12 '!J64,'Special Ed (Simplified)'!I64,'Special Ed (Goal)'!T65)</f>
        <v>116.09531896309257</v>
      </c>
      <c r="D63" s="219">
        <f t="shared" si="1"/>
        <v>1</v>
      </c>
      <c r="E63" s="220">
        <f t="shared" si="2"/>
        <v>206949.01260000002</v>
      </c>
      <c r="F63" s="280">
        <f t="shared" si="7"/>
        <v>6</v>
      </c>
      <c r="G63" s="222">
        <f t="shared" si="3"/>
        <v>589773.63456000003</v>
      </c>
      <c r="H63" s="281">
        <f t="shared" si="4"/>
        <v>6</v>
      </c>
      <c r="I63" s="222">
        <f t="shared" si="8"/>
        <v>315280.81728000002</v>
      </c>
      <c r="J63" s="259">
        <f t="shared" si="9"/>
        <v>77643.388369326669</v>
      </c>
      <c r="K63" s="27">
        <f t="shared" si="10"/>
        <v>1189646.8528093267</v>
      </c>
    </row>
    <row r="64" spans="1:11" x14ac:dyDescent="0.25">
      <c r="A64" s="41" t="s">
        <v>54</v>
      </c>
      <c r="B64" s="279">
        <v>25998.85</v>
      </c>
      <c r="C64" s="39">
        <f>SUM('K '!L65,'1-3 '!J65,'4-6'!J65,'7-8 '!J65,'9-12 '!J65,'Special Ed (Simplified)'!I65,'Special Ed (Goal)'!T66)</f>
        <v>1555.4353164684669</v>
      </c>
      <c r="D64" s="219">
        <f t="shared" si="1"/>
        <v>1</v>
      </c>
      <c r="E64" s="220">
        <f t="shared" si="2"/>
        <v>206949.01260000002</v>
      </c>
      <c r="F64" s="280">
        <f t="shared" si="7"/>
        <v>20</v>
      </c>
      <c r="G64" s="222">
        <f t="shared" si="3"/>
        <v>1965912.1152000001</v>
      </c>
      <c r="H64" s="281">
        <f t="shared" si="4"/>
        <v>20</v>
      </c>
      <c r="I64" s="222">
        <f t="shared" si="8"/>
        <v>1050936.0575999999</v>
      </c>
      <c r="J64" s="259">
        <f t="shared" si="9"/>
        <v>1040259.5853009459</v>
      </c>
      <c r="K64" s="27">
        <f t="shared" si="10"/>
        <v>4264056.7707009455</v>
      </c>
    </row>
    <row r="65" spans="1:11" x14ac:dyDescent="0.25">
      <c r="A65" s="41" t="s">
        <v>55</v>
      </c>
      <c r="B65" s="279">
        <v>8632.56</v>
      </c>
      <c r="C65" s="39">
        <f>SUM('K '!L66,'1-3 '!J66,'4-6'!J66,'7-8 '!J66,'9-12 '!J66,'Special Ed (Simplified)'!I66,'Special Ed (Goal)'!T67)</f>
        <v>570.37431372194874</v>
      </c>
      <c r="D65" s="219">
        <f t="shared" si="1"/>
        <v>1</v>
      </c>
      <c r="E65" s="220">
        <f t="shared" si="2"/>
        <v>206949.01260000002</v>
      </c>
      <c r="F65" s="280">
        <f t="shared" si="7"/>
        <v>12</v>
      </c>
      <c r="G65" s="222">
        <f t="shared" si="3"/>
        <v>1179547.2691200001</v>
      </c>
      <c r="H65" s="281">
        <f t="shared" si="4"/>
        <v>12</v>
      </c>
      <c r="I65" s="222">
        <f t="shared" si="8"/>
        <v>630561.63456000003</v>
      </c>
      <c r="J65" s="259">
        <f t="shared" si="9"/>
        <v>381460.63727410208</v>
      </c>
      <c r="K65" s="27">
        <f t="shared" si="10"/>
        <v>2398518.5535541018</v>
      </c>
    </row>
    <row r="66" spans="1:11" x14ac:dyDescent="0.25">
      <c r="A66" s="41" t="s">
        <v>56</v>
      </c>
      <c r="B66" s="279">
        <v>1939.18</v>
      </c>
      <c r="C66" s="39">
        <f>SUM('K '!L67,'1-3 '!J67,'4-6'!J67,'7-8 '!J67,'9-12 '!J67,'Special Ed (Simplified)'!I67,'Special Ed (Goal)'!T68)</f>
        <v>128.21556587159526</v>
      </c>
      <c r="D66" s="219">
        <f t="shared" si="1"/>
        <v>1</v>
      </c>
      <c r="E66" s="220">
        <f t="shared" si="2"/>
        <v>206949.01260000002</v>
      </c>
      <c r="F66" s="280">
        <f t="shared" si="7"/>
        <v>6</v>
      </c>
      <c r="G66" s="222">
        <f t="shared" si="3"/>
        <v>589773.63456000003</v>
      </c>
      <c r="H66" s="281">
        <f t="shared" si="4"/>
        <v>6</v>
      </c>
      <c r="I66" s="222">
        <f t="shared" si="8"/>
        <v>315280.81728000002</v>
      </c>
      <c r="J66" s="259">
        <f t="shared" si="9"/>
        <v>85749.288299264183</v>
      </c>
      <c r="K66" s="27">
        <f t="shared" si="10"/>
        <v>1197752.7527392642</v>
      </c>
    </row>
    <row r="67" spans="1:11" x14ac:dyDescent="0.25">
      <c r="A67" s="41" t="s">
        <v>57</v>
      </c>
      <c r="B67" s="279">
        <v>3124.12</v>
      </c>
      <c r="C67" s="39">
        <f>SUM('K '!L68,'1-3 '!J68,'4-6'!J68,'7-8 '!J68,'9-12 '!J68,'Special Ed (Simplified)'!I68,'Special Ed (Goal)'!T69)</f>
        <v>215.03443568754568</v>
      </c>
      <c r="D67" s="219">
        <f t="shared" si="1"/>
        <v>1</v>
      </c>
      <c r="E67" s="220">
        <f t="shared" si="2"/>
        <v>206949.01260000002</v>
      </c>
      <c r="F67" s="280">
        <f t="shared" si="7"/>
        <v>6</v>
      </c>
      <c r="G67" s="222">
        <f t="shared" si="3"/>
        <v>589773.63456000003</v>
      </c>
      <c r="H67" s="281">
        <f t="shared" si="4"/>
        <v>6</v>
      </c>
      <c r="I67" s="222">
        <f t="shared" si="8"/>
        <v>315280.81728000002</v>
      </c>
      <c r="J67" s="259">
        <f t="shared" si="9"/>
        <v>143812.88024347366</v>
      </c>
      <c r="K67" s="27">
        <f t="shared" si="10"/>
        <v>1255816.3446834737</v>
      </c>
    </row>
    <row r="68" spans="1:11" x14ac:dyDescent="0.25">
      <c r="A68" s="41" t="s">
        <v>58</v>
      </c>
      <c r="B68" s="279">
        <v>16899.259999999998</v>
      </c>
      <c r="C68" s="39">
        <f>SUM('K '!L69,'1-3 '!J69,'4-6'!J69,'7-8 '!J69,'9-12 '!J69,'Special Ed (Simplified)'!I69,'Special Ed (Goal)'!T70)</f>
        <v>1010.6782579771391</v>
      </c>
      <c r="D68" s="219">
        <f t="shared" si="1"/>
        <v>1</v>
      </c>
      <c r="E68" s="220">
        <f t="shared" si="2"/>
        <v>206949.01260000002</v>
      </c>
      <c r="F68" s="280">
        <f t="shared" si="7"/>
        <v>20</v>
      </c>
      <c r="G68" s="222">
        <f t="shared" si="3"/>
        <v>1965912.1152000001</v>
      </c>
      <c r="H68" s="281">
        <f t="shared" si="4"/>
        <v>20</v>
      </c>
      <c r="I68" s="222">
        <f t="shared" si="8"/>
        <v>1050936.0575999999</v>
      </c>
      <c r="J68" s="259">
        <f t="shared" si="9"/>
        <v>675931.51215253084</v>
      </c>
      <c r="K68" s="27">
        <f t="shared" si="10"/>
        <v>3899728.6975525306</v>
      </c>
    </row>
    <row r="69" spans="1:11" x14ac:dyDescent="0.25">
      <c r="A69" s="41" t="s">
        <v>59</v>
      </c>
      <c r="B69" s="279">
        <v>4230.8599999999997</v>
      </c>
      <c r="C69" s="39">
        <f>SUM('K '!L70,'1-3 '!J70,'4-6'!J70,'7-8 '!J70,'9-12 '!J70,'Special Ed (Simplified)'!I70,'Special Ed (Goal)'!T71)</f>
        <v>292.70210883095376</v>
      </c>
      <c r="D69" s="219">
        <f t="shared" si="1"/>
        <v>1</v>
      </c>
      <c r="E69" s="220">
        <f t="shared" si="2"/>
        <v>206949.01260000002</v>
      </c>
      <c r="F69" s="280">
        <f t="shared" si="7"/>
        <v>6</v>
      </c>
      <c r="G69" s="222">
        <f t="shared" si="3"/>
        <v>589773.63456000003</v>
      </c>
      <c r="H69" s="281">
        <f t="shared" si="4"/>
        <v>6</v>
      </c>
      <c r="I69" s="222">
        <f t="shared" si="8"/>
        <v>315280.81728000002</v>
      </c>
      <c r="J69" s="259">
        <f t="shared" si="9"/>
        <v>195756.24336505355</v>
      </c>
      <c r="K69" s="27">
        <f t="shared" si="10"/>
        <v>1307759.7078050536</v>
      </c>
    </row>
    <row r="70" spans="1:11" x14ac:dyDescent="0.25">
      <c r="A70" s="41" t="s">
        <v>60</v>
      </c>
      <c r="B70" s="279">
        <v>3684.37</v>
      </c>
      <c r="C70" s="39">
        <f>SUM('K '!L71,'1-3 '!J71,'4-6'!J71,'7-8 '!J71,'9-12 '!J71,'Special Ed (Simplified)'!I71,'Special Ed (Goal)'!T72)</f>
        <v>246.95559172690275</v>
      </c>
      <c r="D70" s="219">
        <f t="shared" si="1"/>
        <v>1</v>
      </c>
      <c r="E70" s="220">
        <f t="shared" si="2"/>
        <v>206949.01260000002</v>
      </c>
      <c r="F70" s="280">
        <f t="shared" si="7"/>
        <v>6</v>
      </c>
      <c r="G70" s="222">
        <f t="shared" si="3"/>
        <v>589773.63456000003</v>
      </c>
      <c r="H70" s="281">
        <f t="shared" si="4"/>
        <v>6</v>
      </c>
      <c r="I70" s="222">
        <f t="shared" si="8"/>
        <v>315280.81728000002</v>
      </c>
      <c r="J70" s="259">
        <f t="shared" si="9"/>
        <v>165161.4301910353</v>
      </c>
      <c r="K70" s="27">
        <f t="shared" si="10"/>
        <v>1277164.8946310354</v>
      </c>
    </row>
    <row r="71" spans="1:11" x14ac:dyDescent="0.25">
      <c r="A71" s="41" t="s">
        <v>61</v>
      </c>
      <c r="B71" s="279">
        <v>665.85</v>
      </c>
      <c r="C71" s="39">
        <f>SUM('K '!L72,'1-3 '!J72,'4-6'!J72,'7-8 '!J72,'9-12 '!J72,'Special Ed (Simplified)'!I72,'Special Ed (Goal)'!T73)</f>
        <v>45.454563868071524</v>
      </c>
      <c r="D71" s="219">
        <f t="shared" si="1"/>
        <v>1</v>
      </c>
      <c r="E71" s="220">
        <f t="shared" si="2"/>
        <v>206949.01260000002</v>
      </c>
      <c r="F71" s="280">
        <f t="shared" si="7"/>
        <v>6</v>
      </c>
      <c r="G71" s="222">
        <f t="shared" si="3"/>
        <v>589773.63456000003</v>
      </c>
      <c r="H71" s="281">
        <f t="shared" si="4"/>
        <v>6</v>
      </c>
      <c r="I71" s="222">
        <f t="shared" si="8"/>
        <v>315280.81728000002</v>
      </c>
      <c r="J71" s="259">
        <f t="shared" si="9"/>
        <v>30399.557769327552</v>
      </c>
      <c r="K71" s="27">
        <f t="shared" si="10"/>
        <v>1142403.0222093277</v>
      </c>
    </row>
    <row r="72" spans="1:11" x14ac:dyDescent="0.25">
      <c r="A72" s="41" t="s">
        <v>62</v>
      </c>
      <c r="B72" s="279">
        <v>5751.42</v>
      </c>
      <c r="C72" s="39">
        <f>SUM('K '!L73,'1-3 '!J73,'4-6'!J73,'7-8 '!J73,'9-12 '!J73,'Special Ed (Simplified)'!I73,'Special Ed (Goal)'!T74)</f>
        <v>371.56790667683276</v>
      </c>
      <c r="D72" s="219">
        <f t="shared" si="1"/>
        <v>1</v>
      </c>
      <c r="E72" s="220">
        <f t="shared" si="2"/>
        <v>206949.01260000002</v>
      </c>
      <c r="F72" s="280">
        <f t="shared" si="7"/>
        <v>6</v>
      </c>
      <c r="G72" s="222">
        <f t="shared" si="3"/>
        <v>589773.63456000003</v>
      </c>
      <c r="H72" s="281">
        <f t="shared" si="4"/>
        <v>6</v>
      </c>
      <c r="I72" s="222">
        <f t="shared" si="8"/>
        <v>315280.81728000002</v>
      </c>
      <c r="J72" s="259">
        <f t="shared" si="9"/>
        <v>248500.90030639898</v>
      </c>
      <c r="K72" s="27">
        <f t="shared" si="10"/>
        <v>1360504.364746399</v>
      </c>
    </row>
    <row r="73" spans="1:11" x14ac:dyDescent="0.25">
      <c r="A73" s="41" t="s">
        <v>63</v>
      </c>
      <c r="B73" s="279">
        <v>10099.5</v>
      </c>
      <c r="C73" s="39">
        <f>SUM('K '!L74,'1-3 '!J74,'4-6'!J74,'7-8 '!J74,'9-12 '!J74,'Special Ed (Simplified)'!I74,'Special Ed (Goal)'!T75)</f>
        <v>666.69856126491572</v>
      </c>
      <c r="D73" s="219">
        <f t="shared" si="1"/>
        <v>1</v>
      </c>
      <c r="E73" s="220">
        <f t="shared" si="2"/>
        <v>206949.01260000002</v>
      </c>
      <c r="F73" s="280">
        <f t="shared" si="7"/>
        <v>15</v>
      </c>
      <c r="G73" s="222">
        <f t="shared" si="3"/>
        <v>1474434.0864000001</v>
      </c>
      <c r="H73" s="281">
        <f t="shared" si="4"/>
        <v>15</v>
      </c>
      <c r="I73" s="222">
        <f t="shared" si="8"/>
        <v>788202.04320000007</v>
      </c>
      <c r="J73" s="259">
        <f t="shared" si="9"/>
        <v>445881.33078836295</v>
      </c>
      <c r="K73" s="27">
        <f t="shared" si="10"/>
        <v>2915466.4729883629</v>
      </c>
    </row>
    <row r="74" spans="1:11" x14ac:dyDescent="0.25">
      <c r="A74" s="41" t="s">
        <v>64</v>
      </c>
      <c r="B74" s="279">
        <v>2483.25</v>
      </c>
      <c r="C74" s="39">
        <f>SUM('K '!L75,'1-3 '!J75,'4-6'!J75,'7-8 '!J75,'9-12 '!J75,'Special Ed (Simplified)'!I75,'Special Ed (Goal)'!T76)</f>
        <v>168.11975422391333</v>
      </c>
      <c r="D74" s="219">
        <f t="shared" si="1"/>
        <v>1</v>
      </c>
      <c r="E74" s="220">
        <f t="shared" si="2"/>
        <v>206949.01260000002</v>
      </c>
      <c r="F74" s="280">
        <f t="shared" si="7"/>
        <v>6</v>
      </c>
      <c r="G74" s="222">
        <f t="shared" si="3"/>
        <v>589773.63456000003</v>
      </c>
      <c r="H74" s="281">
        <f t="shared" si="4"/>
        <v>6</v>
      </c>
      <c r="I74" s="222">
        <f t="shared" si="8"/>
        <v>315280.81728000002</v>
      </c>
      <c r="J74" s="259">
        <f t="shared" si="9"/>
        <v>112436.81042741099</v>
      </c>
      <c r="K74" s="27">
        <f t="shared" si="10"/>
        <v>1224440.274867411</v>
      </c>
    </row>
    <row r="75" spans="1:11" x14ac:dyDescent="0.25">
      <c r="A75" s="41" t="s">
        <v>65</v>
      </c>
      <c r="B75" s="279">
        <v>3390.2</v>
      </c>
      <c r="C75" s="39">
        <f>SUM('K '!L76,'1-3 '!J76,'4-6'!J76,'7-8 '!J76,'9-12 '!J76,'Special Ed (Simplified)'!I76,'Special Ed (Goal)'!T77)</f>
        <v>219.65471620092956</v>
      </c>
      <c r="D75" s="219">
        <f t="shared" si="1"/>
        <v>1</v>
      </c>
      <c r="E75" s="220">
        <f t="shared" si="2"/>
        <v>206949.01260000002</v>
      </c>
      <c r="F75" s="280">
        <f t="shared" si="7"/>
        <v>6</v>
      </c>
      <c r="G75" s="222">
        <f t="shared" si="3"/>
        <v>589773.63456000003</v>
      </c>
      <c r="H75" s="281">
        <f t="shared" si="4"/>
        <v>6</v>
      </c>
      <c r="I75" s="222">
        <f t="shared" si="8"/>
        <v>315280.81728000002</v>
      </c>
      <c r="J75" s="259">
        <f t="shared" si="9"/>
        <v>146902.87764801967</v>
      </c>
      <c r="K75" s="27">
        <f t="shared" si="10"/>
        <v>1258906.3420880197</v>
      </c>
    </row>
    <row r="76" spans="1:11" x14ac:dyDescent="0.25">
      <c r="A76" s="41" t="s">
        <v>66</v>
      </c>
      <c r="B76" s="279">
        <v>6118.74</v>
      </c>
      <c r="C76" s="39">
        <f>SUM('K '!L77,'1-3 '!J77,'4-6'!J77,'7-8 '!J77,'9-12 '!J77,'Special Ed (Simplified)'!I77,'Special Ed (Goal)'!T78)</f>
        <v>404.11948882581197</v>
      </c>
      <c r="D76" s="219">
        <f t="shared" si="1"/>
        <v>1</v>
      </c>
      <c r="E76" s="220">
        <f t="shared" si="2"/>
        <v>206949.01260000002</v>
      </c>
      <c r="F76" s="280">
        <f t="shared" si="7"/>
        <v>7</v>
      </c>
      <c r="G76" s="222">
        <f t="shared" si="3"/>
        <v>688069.2403200001</v>
      </c>
      <c r="H76" s="281">
        <f t="shared" si="4"/>
        <v>7</v>
      </c>
      <c r="I76" s="222">
        <f t="shared" si="8"/>
        <v>367827.62016000005</v>
      </c>
      <c r="J76" s="259">
        <f t="shared" si="9"/>
        <v>270271.07293181476</v>
      </c>
      <c r="K76" s="27">
        <f t="shared" si="10"/>
        <v>1533116.946011815</v>
      </c>
    </row>
    <row r="77" spans="1:11" x14ac:dyDescent="0.25">
      <c r="A77" s="41" t="s">
        <v>67</v>
      </c>
      <c r="B77" s="279">
        <v>15618.17</v>
      </c>
      <c r="C77" s="39">
        <f>SUM('K '!L78,'1-3 '!J78,'4-6'!J78,'7-8 '!J78,'9-12 '!J78,'Special Ed (Simplified)'!I78,'Special Ed (Goal)'!T79)</f>
        <v>970.12943224888613</v>
      </c>
      <c r="D77" s="219">
        <f t="shared" si="1"/>
        <v>1</v>
      </c>
      <c r="E77" s="220">
        <f t="shared" si="2"/>
        <v>206949.01260000002</v>
      </c>
      <c r="F77" s="280">
        <f t="shared" si="7"/>
        <v>20</v>
      </c>
      <c r="G77" s="222">
        <f t="shared" si="3"/>
        <v>1965912.1152000001</v>
      </c>
      <c r="H77" s="281">
        <f t="shared" si="4"/>
        <v>20</v>
      </c>
      <c r="I77" s="222">
        <f t="shared" si="8"/>
        <v>1050936.0575999999</v>
      </c>
      <c r="J77" s="259">
        <f t="shared" si="9"/>
        <v>648812.86299373256</v>
      </c>
      <c r="K77" s="27">
        <f t="shared" si="10"/>
        <v>3872610.0483937324</v>
      </c>
    </row>
    <row r="78" spans="1:11" x14ac:dyDescent="0.25">
      <c r="A78" s="41" t="s">
        <v>68</v>
      </c>
      <c r="B78" s="279">
        <v>22502.1</v>
      </c>
      <c r="C78" s="39">
        <f>SUM('K '!L79,'1-3 '!J79,'4-6'!J79,'7-8 '!J79,'9-12 '!J79,'Special Ed (Simplified)'!I79,'Special Ed (Goal)'!T80)</f>
        <v>1468.2483080488514</v>
      </c>
      <c r="D78" s="219">
        <f t="shared" si="1"/>
        <v>1</v>
      </c>
      <c r="E78" s="220">
        <f t="shared" si="2"/>
        <v>206949.01260000002</v>
      </c>
      <c r="F78" s="280">
        <f t="shared" si="7"/>
        <v>20</v>
      </c>
      <c r="G78" s="222">
        <f t="shared" si="3"/>
        <v>1965912.1152000001</v>
      </c>
      <c r="H78" s="281">
        <f t="shared" si="4"/>
        <v>20</v>
      </c>
      <c r="I78" s="222">
        <f t="shared" ref="I78:I94" si="11">($F$4+$F$5+$F$6)*H78</f>
        <v>1050936.0575999999</v>
      </c>
      <c r="J78" s="259">
        <f t="shared" ref="J78:J94" si="12">$J$4*$J$7*C78</f>
        <v>981949.78593999124</v>
      </c>
      <c r="K78" s="27">
        <f t="shared" ref="K78:K94" si="13">E78+G78+I78+J78</f>
        <v>4205746.9713399913</v>
      </c>
    </row>
    <row r="79" spans="1:11" x14ac:dyDescent="0.25">
      <c r="A79" s="41" t="s">
        <v>69</v>
      </c>
      <c r="B79" s="279">
        <v>27586.57</v>
      </c>
      <c r="C79" s="39">
        <f>SUM('K '!L80,'1-3 '!J80,'4-6'!J80,'7-8 '!J80,'9-12 '!J80,'Special Ed (Simplified)'!I80,'Special Ed (Goal)'!T81)</f>
        <v>1690.2759820787135</v>
      </c>
      <c r="D79" s="219">
        <f t="shared" ref="D79:D94" si="14">$B$7</f>
        <v>1</v>
      </c>
      <c r="E79" s="220">
        <f t="shared" ref="E79:E94" si="15">($B$4+$B$5+$B$6)*D79</f>
        <v>206949.01260000002</v>
      </c>
      <c r="F79" s="280">
        <f t="shared" ref="F79:F93" si="16">_xlfn.FLOOR.MATH(IF(C79&lt;$H$5,$H$6,MIN($H$7,$H$6+(C79-$H$5)/$H$4)),1)</f>
        <v>20</v>
      </c>
      <c r="G79" s="222">
        <f t="shared" ref="G79:G94" si="17">($D$4+$D$5+$D$6)*F79</f>
        <v>1965912.1152000001</v>
      </c>
      <c r="H79" s="281">
        <f t="shared" ref="H79:H94" si="18">F79</f>
        <v>20</v>
      </c>
      <c r="I79" s="222">
        <f t="shared" si="11"/>
        <v>1050936.0575999999</v>
      </c>
      <c r="J79" s="259">
        <f t="shared" si="12"/>
        <v>1130439.6740544226</v>
      </c>
      <c r="K79" s="27">
        <f t="shared" si="13"/>
        <v>4354236.8594544223</v>
      </c>
    </row>
    <row r="80" spans="1:11" x14ac:dyDescent="0.25">
      <c r="A80" s="41" t="s">
        <v>70</v>
      </c>
      <c r="B80" s="279">
        <v>2197.3200000000002</v>
      </c>
      <c r="C80" s="39">
        <f>SUM('K '!L81,'1-3 '!J81,'4-6'!J81,'7-8 '!J81,'9-12 '!J81,'Special Ed (Simplified)'!I81,'Special Ed (Goal)'!T82)</f>
        <v>147.76238181088081</v>
      </c>
      <c r="D80" s="219">
        <f t="shared" si="14"/>
        <v>1</v>
      </c>
      <c r="E80" s="220">
        <f t="shared" si="15"/>
        <v>206949.01260000002</v>
      </c>
      <c r="F80" s="280">
        <f t="shared" si="16"/>
        <v>6</v>
      </c>
      <c r="G80" s="222">
        <f t="shared" si="17"/>
        <v>589773.63456000003</v>
      </c>
      <c r="H80" s="281">
        <f t="shared" si="18"/>
        <v>6</v>
      </c>
      <c r="I80" s="222">
        <f t="shared" si="11"/>
        <v>315280.81728000002</v>
      </c>
      <c r="J80" s="259">
        <f t="shared" si="12"/>
        <v>98822.003331298969</v>
      </c>
      <c r="K80" s="27">
        <f t="shared" si="13"/>
        <v>1210825.467771299</v>
      </c>
    </row>
    <row r="81" spans="1:11" x14ac:dyDescent="0.25">
      <c r="A81" s="41" t="s">
        <v>71</v>
      </c>
      <c r="B81" s="279">
        <v>4904.8</v>
      </c>
      <c r="C81" s="39">
        <f>SUM('K '!L82,'1-3 '!J82,'4-6'!J82,'7-8 '!J82,'9-12 '!J82,'Special Ed (Simplified)'!I82,'Special Ed (Goal)'!T83)</f>
        <v>298.52448393824329</v>
      </c>
      <c r="D81" s="219">
        <f t="shared" si="14"/>
        <v>1</v>
      </c>
      <c r="E81" s="220">
        <f t="shared" si="15"/>
        <v>206949.01260000002</v>
      </c>
      <c r="F81" s="280">
        <f t="shared" si="16"/>
        <v>6</v>
      </c>
      <c r="G81" s="222">
        <f t="shared" si="17"/>
        <v>589773.63456000003</v>
      </c>
      <c r="H81" s="281">
        <f t="shared" si="18"/>
        <v>6</v>
      </c>
      <c r="I81" s="222">
        <f t="shared" si="11"/>
        <v>315280.81728000002</v>
      </c>
      <c r="J81" s="259">
        <f t="shared" si="12"/>
        <v>199650.18961305771</v>
      </c>
      <c r="K81" s="27">
        <f t="shared" si="13"/>
        <v>1311653.6540530578</v>
      </c>
    </row>
    <row r="82" spans="1:11" x14ac:dyDescent="0.25">
      <c r="A82" s="41" t="s">
        <v>72</v>
      </c>
      <c r="B82" s="279">
        <v>9921.15</v>
      </c>
      <c r="C82" s="39">
        <f>SUM('K '!L83,'1-3 '!J83,'4-6'!J83,'7-8 '!J83,'9-12 '!J83,'Special Ed (Simplified)'!I83,'Special Ed (Goal)'!T84)</f>
        <v>615.12827283211686</v>
      </c>
      <c r="D82" s="219">
        <f t="shared" si="14"/>
        <v>1</v>
      </c>
      <c r="E82" s="220">
        <f t="shared" si="15"/>
        <v>206949.01260000002</v>
      </c>
      <c r="F82" s="280">
        <f t="shared" si="16"/>
        <v>13</v>
      </c>
      <c r="G82" s="222">
        <f t="shared" si="17"/>
        <v>1277842.87488</v>
      </c>
      <c r="H82" s="281">
        <f t="shared" si="18"/>
        <v>13</v>
      </c>
      <c r="I82" s="222">
        <f t="shared" si="11"/>
        <v>683108.43744000001</v>
      </c>
      <c r="J82" s="259">
        <f t="shared" si="12"/>
        <v>411391.63758739142</v>
      </c>
      <c r="K82" s="27">
        <f t="shared" si="13"/>
        <v>2579291.9625073913</v>
      </c>
    </row>
    <row r="83" spans="1:11" x14ac:dyDescent="0.25">
      <c r="A83" s="41" t="s">
        <v>73</v>
      </c>
      <c r="B83" s="279">
        <v>2737.16</v>
      </c>
      <c r="C83" s="39">
        <f>SUM('K '!L84,'1-3 '!J84,'4-6'!J84,'7-8 '!J84,'9-12 '!J84,'Special Ed (Simplified)'!I84,'Special Ed (Goal)'!T85)</f>
        <v>179.42411972114556</v>
      </c>
      <c r="D83" s="219">
        <f t="shared" si="14"/>
        <v>1</v>
      </c>
      <c r="E83" s="220">
        <f t="shared" si="15"/>
        <v>206949.01260000002</v>
      </c>
      <c r="F83" s="280">
        <f t="shared" si="16"/>
        <v>6</v>
      </c>
      <c r="G83" s="222">
        <f t="shared" si="17"/>
        <v>589773.63456000003</v>
      </c>
      <c r="H83" s="281">
        <f t="shared" si="18"/>
        <v>6</v>
      </c>
      <c r="I83" s="222">
        <f t="shared" si="11"/>
        <v>315280.81728000002</v>
      </c>
      <c r="J83" s="259">
        <f t="shared" si="12"/>
        <v>119997.05702830493</v>
      </c>
      <c r="K83" s="27">
        <f t="shared" si="13"/>
        <v>1232000.521468305</v>
      </c>
    </row>
    <row r="84" spans="1:11" x14ac:dyDescent="0.25">
      <c r="A84" s="41" t="s">
        <v>74</v>
      </c>
      <c r="B84" s="279">
        <v>2669.43</v>
      </c>
      <c r="C84" s="39">
        <f>SUM('K '!L85,'1-3 '!J85,'4-6'!J85,'7-8 '!J85,'9-12 '!J85,'Special Ed (Simplified)'!I85,'Special Ed (Goal)'!T86)</f>
        <v>171.80108821600123</v>
      </c>
      <c r="D84" s="219">
        <f t="shared" si="14"/>
        <v>1</v>
      </c>
      <c r="E84" s="220">
        <f t="shared" si="15"/>
        <v>206949.01260000002</v>
      </c>
      <c r="F84" s="280">
        <f t="shared" si="16"/>
        <v>6</v>
      </c>
      <c r="G84" s="222">
        <f t="shared" si="17"/>
        <v>589773.63456000003</v>
      </c>
      <c r="H84" s="281">
        <f t="shared" si="18"/>
        <v>6</v>
      </c>
      <c r="I84" s="222">
        <f t="shared" si="11"/>
        <v>315280.81728000002</v>
      </c>
      <c r="J84" s="259">
        <f t="shared" si="12"/>
        <v>114898.84978797946</v>
      </c>
      <c r="K84" s="27">
        <f t="shared" si="13"/>
        <v>1226902.3142279794</v>
      </c>
    </row>
    <row r="85" spans="1:11" x14ac:dyDescent="0.25">
      <c r="A85" s="41" t="s">
        <v>75</v>
      </c>
      <c r="B85" s="279">
        <v>8533.4500000000007</v>
      </c>
      <c r="C85" s="39">
        <f>SUM('K '!L86,'1-3 '!J86,'4-6'!J86,'7-8 '!J86,'9-12 '!J86,'Special Ed (Simplified)'!I86,'Special Ed (Goal)'!T87)</f>
        <v>527.91610415828268</v>
      </c>
      <c r="D85" s="219">
        <f t="shared" si="14"/>
        <v>1</v>
      </c>
      <c r="E85" s="220">
        <f t="shared" si="15"/>
        <v>206949.01260000002</v>
      </c>
      <c r="F85" s="280">
        <f t="shared" si="16"/>
        <v>11</v>
      </c>
      <c r="G85" s="222">
        <f t="shared" si="17"/>
        <v>1081251.6633600001</v>
      </c>
      <c r="H85" s="281">
        <f t="shared" si="18"/>
        <v>11</v>
      </c>
      <c r="I85" s="222">
        <f t="shared" si="11"/>
        <v>578014.83168000006</v>
      </c>
      <c r="J85" s="259">
        <f t="shared" si="12"/>
        <v>353065.01130001782</v>
      </c>
      <c r="K85" s="27">
        <f t="shared" si="13"/>
        <v>2219280.518940018</v>
      </c>
    </row>
    <row r="86" spans="1:11" x14ac:dyDescent="0.25">
      <c r="A86" s="41" t="s">
        <v>76</v>
      </c>
      <c r="B86" s="279">
        <v>10966.62</v>
      </c>
      <c r="C86" s="39">
        <f>SUM('K '!L87,'1-3 '!J87,'4-6'!J87,'7-8 '!J87,'9-12 '!J87,'Special Ed (Simplified)'!I87,'Special Ed (Goal)'!T88)</f>
        <v>705.36064812289908</v>
      </c>
      <c r="D86" s="219">
        <f t="shared" si="14"/>
        <v>1</v>
      </c>
      <c r="E86" s="220">
        <f t="shared" si="15"/>
        <v>206949.01260000002</v>
      </c>
      <c r="F86" s="280">
        <f t="shared" si="16"/>
        <v>16</v>
      </c>
      <c r="G86" s="222">
        <f t="shared" si="17"/>
        <v>1572729.6921600001</v>
      </c>
      <c r="H86" s="281">
        <f t="shared" si="18"/>
        <v>16</v>
      </c>
      <c r="I86" s="222">
        <f t="shared" si="11"/>
        <v>840748.84608000005</v>
      </c>
      <c r="J86" s="259">
        <f t="shared" si="12"/>
        <v>471738.14785811363</v>
      </c>
      <c r="K86" s="27">
        <f t="shared" si="13"/>
        <v>3092165.6986981137</v>
      </c>
    </row>
    <row r="87" spans="1:11" x14ac:dyDescent="0.25">
      <c r="A87" s="41" t="s">
        <v>77</v>
      </c>
      <c r="B87" s="279">
        <v>7107.44</v>
      </c>
      <c r="C87" s="39">
        <f>SUM('K '!L88,'1-3 '!J88,'4-6'!J88,'7-8 '!J88,'9-12 '!J88,'Special Ed (Simplified)'!I88,'Special Ed (Goal)'!T89)</f>
        <v>450.67485560559646</v>
      </c>
      <c r="D87" s="219">
        <f t="shared" si="14"/>
        <v>1</v>
      </c>
      <c r="E87" s="220">
        <f t="shared" si="15"/>
        <v>206949.01260000002</v>
      </c>
      <c r="F87" s="280">
        <f t="shared" si="16"/>
        <v>8</v>
      </c>
      <c r="G87" s="222">
        <f t="shared" si="17"/>
        <v>786364.84608000005</v>
      </c>
      <c r="H87" s="281">
        <f t="shared" si="18"/>
        <v>8</v>
      </c>
      <c r="I87" s="222">
        <f t="shared" si="11"/>
        <v>420374.42304000002</v>
      </c>
      <c r="J87" s="259">
        <f t="shared" si="12"/>
        <v>301406.83668046683</v>
      </c>
      <c r="K87" s="27">
        <f t="shared" si="13"/>
        <v>1715095.1184004669</v>
      </c>
    </row>
    <row r="88" spans="1:11" x14ac:dyDescent="0.25">
      <c r="A88" s="41" t="s">
        <v>78</v>
      </c>
      <c r="B88" s="279">
        <v>15888.61</v>
      </c>
      <c r="C88" s="39">
        <f>SUM('K '!L89,'1-3 '!J89,'4-6'!J89,'7-8 '!J89,'9-12 '!J89,'Special Ed (Simplified)'!I89,'Special Ed (Goal)'!T90)</f>
        <v>1040.2071470481424</v>
      </c>
      <c r="D88" s="219">
        <f t="shared" si="14"/>
        <v>1</v>
      </c>
      <c r="E88" s="220">
        <f t="shared" si="15"/>
        <v>206949.01260000002</v>
      </c>
      <c r="F88" s="280">
        <f t="shared" si="16"/>
        <v>20</v>
      </c>
      <c r="G88" s="222">
        <f t="shared" si="17"/>
        <v>1965912.1152000001</v>
      </c>
      <c r="H88" s="281">
        <f t="shared" si="18"/>
        <v>20</v>
      </c>
      <c r="I88" s="222">
        <f t="shared" si="11"/>
        <v>1050936.0575999999</v>
      </c>
      <c r="J88" s="259">
        <f t="shared" si="12"/>
        <v>695680.13787432713</v>
      </c>
      <c r="K88" s="27">
        <f t="shared" si="13"/>
        <v>3919477.323274327</v>
      </c>
    </row>
    <row r="89" spans="1:11" x14ac:dyDescent="0.25">
      <c r="A89" s="41" t="s">
        <v>79</v>
      </c>
      <c r="B89" s="279">
        <v>3787.02</v>
      </c>
      <c r="C89" s="39">
        <f>SUM('K '!L90,'1-3 '!J90,'4-6'!J90,'7-8 '!J90,'9-12 '!J90,'Special Ed (Simplified)'!I90,'Special Ed (Goal)'!T91)</f>
        <v>250.70103599683736</v>
      </c>
      <c r="D89" s="219">
        <f t="shared" si="14"/>
        <v>1</v>
      </c>
      <c r="E89" s="220">
        <f t="shared" si="15"/>
        <v>206949.01260000002</v>
      </c>
      <c r="F89" s="280">
        <f t="shared" si="16"/>
        <v>6</v>
      </c>
      <c r="G89" s="222">
        <f t="shared" si="17"/>
        <v>589773.63456000003</v>
      </c>
      <c r="H89" s="281">
        <f t="shared" si="18"/>
        <v>6</v>
      </c>
      <c r="I89" s="222">
        <f t="shared" si="11"/>
        <v>315280.81728000002</v>
      </c>
      <c r="J89" s="259">
        <f t="shared" si="12"/>
        <v>167666.34586432486</v>
      </c>
      <c r="K89" s="27">
        <f t="shared" si="13"/>
        <v>1279669.8103043248</v>
      </c>
    </row>
    <row r="90" spans="1:11" x14ac:dyDescent="0.25">
      <c r="A90" s="41" t="s">
        <v>80</v>
      </c>
      <c r="B90" s="279">
        <v>3426.1</v>
      </c>
      <c r="C90" s="39">
        <f>SUM('K '!L91,'1-3 '!J91,'4-6'!J91,'7-8 '!J91,'9-12 '!J91,'Special Ed (Simplified)'!I91,'Special Ed (Goal)'!T92)</f>
        <v>237.62264433700483</v>
      </c>
      <c r="D90" s="219">
        <f t="shared" si="14"/>
        <v>1</v>
      </c>
      <c r="E90" s="220">
        <f t="shared" si="15"/>
        <v>206949.01260000002</v>
      </c>
      <c r="F90" s="280">
        <f t="shared" si="16"/>
        <v>6</v>
      </c>
      <c r="G90" s="222">
        <f t="shared" si="17"/>
        <v>589773.63456000003</v>
      </c>
      <c r="H90" s="281">
        <f t="shared" si="18"/>
        <v>6</v>
      </c>
      <c r="I90" s="222">
        <f t="shared" si="11"/>
        <v>315280.81728000002</v>
      </c>
      <c r="J90" s="259">
        <f t="shared" si="12"/>
        <v>158919.64830614545</v>
      </c>
      <c r="K90" s="27">
        <f t="shared" si="13"/>
        <v>1270923.1127461456</v>
      </c>
    </row>
    <row r="91" spans="1:11" x14ac:dyDescent="0.25">
      <c r="A91" s="41" t="s">
        <v>81</v>
      </c>
      <c r="B91" s="279">
        <v>4956.4399999999996</v>
      </c>
      <c r="C91" s="39">
        <f>SUM('K '!L92,'1-3 '!J92,'4-6'!J92,'7-8 '!J92,'9-12 '!J92,'Special Ed (Simplified)'!I92,'Special Ed (Goal)'!T93)</f>
        <v>327.56641375436897</v>
      </c>
      <c r="D91" s="219">
        <f t="shared" si="14"/>
        <v>1</v>
      </c>
      <c r="E91" s="220">
        <f t="shared" si="15"/>
        <v>206949.01260000002</v>
      </c>
      <c r="F91" s="280">
        <f t="shared" si="16"/>
        <v>6</v>
      </c>
      <c r="G91" s="222">
        <f t="shared" si="17"/>
        <v>589773.63456000003</v>
      </c>
      <c r="H91" s="281">
        <f t="shared" si="18"/>
        <v>6</v>
      </c>
      <c r="I91" s="222">
        <f t="shared" si="11"/>
        <v>315280.81728000002</v>
      </c>
      <c r="J91" s="259">
        <f t="shared" si="12"/>
        <v>219073.14185478442</v>
      </c>
      <c r="K91" s="27">
        <f t="shared" si="13"/>
        <v>1331076.6062947845</v>
      </c>
    </row>
    <row r="92" spans="1:11" x14ac:dyDescent="0.25">
      <c r="A92" s="41" t="s">
        <v>82</v>
      </c>
      <c r="B92" s="279">
        <v>7694.47</v>
      </c>
      <c r="C92" s="39">
        <f>SUM('K '!L93,'1-3 '!J93,'4-6'!J93,'7-8 '!J93,'9-12 '!J93,'Special Ed (Simplified)'!I93,'Special Ed (Goal)'!T94)</f>
        <v>435.58791545790911</v>
      </c>
      <c r="D92" s="219">
        <f t="shared" si="14"/>
        <v>1</v>
      </c>
      <c r="E92" s="220">
        <f t="shared" si="15"/>
        <v>206949.01260000002</v>
      </c>
      <c r="F92" s="280">
        <f t="shared" si="16"/>
        <v>8</v>
      </c>
      <c r="G92" s="222">
        <f t="shared" si="17"/>
        <v>786364.84608000005</v>
      </c>
      <c r="H92" s="281">
        <f t="shared" si="18"/>
        <v>8</v>
      </c>
      <c r="I92" s="222">
        <f t="shared" si="11"/>
        <v>420374.42304000002</v>
      </c>
      <c r="J92" s="259">
        <f t="shared" si="12"/>
        <v>291316.84197909501</v>
      </c>
      <c r="K92" s="27">
        <f t="shared" si="13"/>
        <v>1705005.1236990951</v>
      </c>
    </row>
    <row r="93" spans="1:11" x14ac:dyDescent="0.25">
      <c r="A93" s="41" t="s">
        <v>83</v>
      </c>
      <c r="B93" s="279">
        <v>17132.009999999998</v>
      </c>
      <c r="C93" s="39">
        <f>SUM('K '!L94,'1-3 '!J94,'4-6'!J94,'7-8 '!J94,'9-12 '!J94,'Special Ed (Simplified)'!I94,'Special Ed (Goal)'!T95)</f>
        <v>1083.5972663776447</v>
      </c>
      <c r="D93" s="219">
        <f t="shared" si="14"/>
        <v>1</v>
      </c>
      <c r="E93" s="220">
        <f t="shared" si="15"/>
        <v>206949.01260000002</v>
      </c>
      <c r="F93" s="280">
        <f t="shared" si="16"/>
        <v>20</v>
      </c>
      <c r="G93" s="222">
        <f t="shared" si="17"/>
        <v>1965912.1152000001</v>
      </c>
      <c r="H93" s="281">
        <f t="shared" si="18"/>
        <v>20</v>
      </c>
      <c r="I93" s="222">
        <f t="shared" si="11"/>
        <v>1050936.0575999999</v>
      </c>
      <c r="J93" s="259">
        <f t="shared" si="12"/>
        <v>724699.01578070491</v>
      </c>
      <c r="K93" s="27">
        <f t="shared" si="13"/>
        <v>3948496.2011807049</v>
      </c>
    </row>
    <row r="94" spans="1:11" x14ac:dyDescent="0.25">
      <c r="A94" s="41" t="s">
        <v>84</v>
      </c>
      <c r="B94" s="279">
        <v>15937.31</v>
      </c>
      <c r="C94" s="39">
        <f>SUM('K '!L95,'1-3 '!J95,'4-6'!J95,'7-8 '!J95,'9-12 '!J95,'Special Ed (Simplified)'!I95,'Special Ed (Goal)'!T96)</f>
        <v>866.56061645246393</v>
      </c>
      <c r="D94" s="219">
        <f t="shared" si="14"/>
        <v>1</v>
      </c>
      <c r="E94" s="220">
        <f t="shared" si="15"/>
        <v>206949.01260000002</v>
      </c>
      <c r="F94" s="280">
        <f>_xlfn.FLOOR.MATH(IF(C94&lt;$H$5,$H$6,MIN($H$7,$H$6+(C94-$H$5)/$H$4)),1)</f>
        <v>20</v>
      </c>
      <c r="G94" s="222">
        <f t="shared" si="17"/>
        <v>1965912.1152000001</v>
      </c>
      <c r="H94" s="281">
        <f t="shared" si="18"/>
        <v>20</v>
      </c>
      <c r="I94" s="222">
        <f t="shared" si="11"/>
        <v>1050936.0575999999</v>
      </c>
      <c r="J94" s="259">
        <f t="shared" si="12"/>
        <v>579547.07467724336</v>
      </c>
      <c r="K94" s="27">
        <f t="shared" si="13"/>
        <v>3803344.2600772432</v>
      </c>
    </row>
    <row r="95" spans="1:11" ht="15.75" thickBot="1" x14ac:dyDescent="0.3">
      <c r="A95" s="687" t="s">
        <v>312</v>
      </c>
      <c r="B95" s="282">
        <v>721122.25</v>
      </c>
      <c r="C95" s="282">
        <f t="shared" ref="C95:K95" si="19">SUM(C14:C94)</f>
        <v>45241.326238311362</v>
      </c>
      <c r="D95" s="223">
        <f t="shared" si="19"/>
        <v>81</v>
      </c>
      <c r="E95" s="226">
        <f t="shared" si="19"/>
        <v>16762870.02060004</v>
      </c>
      <c r="F95" s="227">
        <f t="shared" si="19"/>
        <v>817</v>
      </c>
      <c r="G95" s="228">
        <f t="shared" si="19"/>
        <v>80307509.905919939</v>
      </c>
      <c r="H95" s="283">
        <f t="shared" si="19"/>
        <v>817</v>
      </c>
      <c r="I95" s="228">
        <f t="shared" si="19"/>
        <v>42930737.952959977</v>
      </c>
      <c r="J95" s="264">
        <f t="shared" si="19"/>
        <v>30256946.574920256</v>
      </c>
      <c r="K95" s="21">
        <f t="shared" si="19"/>
        <v>170258064.45440018</v>
      </c>
    </row>
  </sheetData>
  <mergeCells count="13">
    <mergeCell ref="D10:K10"/>
    <mergeCell ref="G3:H3"/>
    <mergeCell ref="A11:A12"/>
    <mergeCell ref="B11:B12"/>
    <mergeCell ref="E11:E12"/>
    <mergeCell ref="G11:G12"/>
    <mergeCell ref="D11:D12"/>
    <mergeCell ref="C11:C12"/>
    <mergeCell ref="J11:J12"/>
    <mergeCell ref="K11:K12"/>
    <mergeCell ref="I11:I12"/>
    <mergeCell ref="H11:H12"/>
    <mergeCell ref="F11:F12"/>
  </mergeCells>
  <printOptions horizontalCentered="1"/>
  <pageMargins left="0.5" right="0.5" top="0.5" bottom="0.5" header="0.3" footer="0.3"/>
  <pageSetup scale="68" fitToHeight="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1">
    <pageSetUpPr fitToPage="1"/>
  </sheetPr>
  <dimension ref="A1:Y92"/>
  <sheetViews>
    <sheetView zoomScaleNormal="100" zoomScaleSheetLayoutView="100" workbookViewId="0"/>
  </sheetViews>
  <sheetFormatPr defaultRowHeight="15" x14ac:dyDescent="0.25"/>
  <cols>
    <col min="1" max="1" width="17.28515625" bestFit="1" customWidth="1"/>
    <col min="2" max="2" width="10.85546875" bestFit="1" customWidth="1"/>
    <col min="3" max="3" width="9.140625" style="38" bestFit="1" customWidth="1"/>
    <col min="4" max="4" width="9.140625" style="2" bestFit="1" customWidth="1"/>
    <col min="5" max="5" width="10.42578125" bestFit="1" customWidth="1"/>
    <col min="6" max="6" width="3.140625" customWidth="1"/>
    <col min="7" max="7" width="8.7109375" style="2" bestFit="1" customWidth="1"/>
    <col min="8" max="8" width="8.140625" style="2" bestFit="1" customWidth="1"/>
    <col min="9" max="9" width="10.42578125" style="202" bestFit="1" customWidth="1"/>
    <col min="10" max="10" width="3.85546875" customWidth="1"/>
    <col min="11" max="12" width="9.7109375" style="107" bestFit="1" customWidth="1"/>
    <col min="13" max="13" width="10.42578125" bestFit="1" customWidth="1"/>
    <col min="14" max="14" width="3.42578125" customWidth="1"/>
    <col min="15" max="16" width="9.7109375" style="107" bestFit="1" customWidth="1"/>
    <col min="17" max="17" width="10.42578125" bestFit="1" customWidth="1"/>
    <col min="18" max="18" width="4.7109375" customWidth="1"/>
    <col min="19" max="19" width="8.7109375" style="107" bestFit="1" customWidth="1"/>
    <col min="20" max="20" width="8.140625" style="107" bestFit="1" customWidth="1"/>
    <col min="21" max="21" width="10.42578125" bestFit="1" customWidth="1"/>
    <col min="22" max="22" width="3.28515625" customWidth="1"/>
    <col min="23" max="23" width="10.140625" style="107" bestFit="1" customWidth="1"/>
    <col min="24" max="24" width="9.140625" style="107"/>
    <col min="25" max="25" width="10.42578125" bestFit="1" customWidth="1"/>
  </cols>
  <sheetData>
    <row r="1" spans="1:25" ht="23.25" x14ac:dyDescent="0.35">
      <c r="A1" s="4" t="s">
        <v>713</v>
      </c>
      <c r="B1" s="4"/>
    </row>
    <row r="2" spans="1:25" ht="15.75" thickBot="1" x14ac:dyDescent="0.3"/>
    <row r="3" spans="1:25" ht="15.75" customHeight="1" thickBot="1" x14ac:dyDescent="0.3">
      <c r="C3" s="916" t="s">
        <v>578</v>
      </c>
      <c r="D3" s="917"/>
      <c r="E3" s="918"/>
      <c r="G3" s="913" t="s">
        <v>226</v>
      </c>
      <c r="H3" s="914"/>
      <c r="I3" s="915"/>
      <c r="K3" s="913" t="s">
        <v>139</v>
      </c>
      <c r="L3" s="914"/>
      <c r="M3" s="915"/>
      <c r="O3" s="913" t="s">
        <v>215</v>
      </c>
      <c r="P3" s="914"/>
      <c r="Q3" s="915"/>
      <c r="S3" s="913" t="s">
        <v>141</v>
      </c>
      <c r="T3" s="914"/>
      <c r="U3" s="915"/>
      <c r="W3" s="913" t="s">
        <v>688</v>
      </c>
      <c r="X3" s="914"/>
      <c r="Y3" s="915"/>
    </row>
    <row r="4" spans="1:25" s="3" customFormat="1" ht="45" x14ac:dyDescent="0.25">
      <c r="A4" s="484" t="s">
        <v>0</v>
      </c>
      <c r="B4" s="486" t="s">
        <v>86</v>
      </c>
      <c r="C4" s="113" t="s">
        <v>214</v>
      </c>
      <c r="D4" s="114" t="s">
        <v>213</v>
      </c>
      <c r="E4" s="115" t="s">
        <v>216</v>
      </c>
      <c r="G4" s="201" t="s">
        <v>214</v>
      </c>
      <c r="H4" s="119" t="s">
        <v>213</v>
      </c>
      <c r="I4" s="203" t="s">
        <v>216</v>
      </c>
      <c r="K4" s="121" t="s">
        <v>214</v>
      </c>
      <c r="L4" s="122" t="s">
        <v>213</v>
      </c>
      <c r="M4" s="120" t="s">
        <v>216</v>
      </c>
      <c r="O4" s="121" t="s">
        <v>214</v>
      </c>
      <c r="P4" s="122" t="s">
        <v>213</v>
      </c>
      <c r="Q4" s="120" t="s">
        <v>216</v>
      </c>
      <c r="S4" s="121" t="s">
        <v>214</v>
      </c>
      <c r="T4" s="122" t="s">
        <v>213</v>
      </c>
      <c r="U4" s="120" t="s">
        <v>216</v>
      </c>
      <c r="W4" s="121" t="s">
        <v>214</v>
      </c>
      <c r="X4" s="122" t="s">
        <v>213</v>
      </c>
      <c r="Y4" s="120" t="s">
        <v>216</v>
      </c>
    </row>
    <row r="5" spans="1:25" s="3" customFormat="1" x14ac:dyDescent="0.25">
      <c r="A5" s="724" t="s">
        <v>715</v>
      </c>
      <c r="B5" s="725" t="s">
        <v>716</v>
      </c>
      <c r="C5" s="726" t="s">
        <v>717</v>
      </c>
      <c r="D5" s="727" t="s">
        <v>718</v>
      </c>
      <c r="E5" s="728" t="s">
        <v>719</v>
      </c>
      <c r="G5" s="729" t="s">
        <v>720</v>
      </c>
      <c r="H5" s="730" t="s">
        <v>721</v>
      </c>
      <c r="I5" s="731" t="s">
        <v>722</v>
      </c>
      <c r="K5" s="732" t="s">
        <v>723</v>
      </c>
      <c r="L5" s="733" t="s">
        <v>724</v>
      </c>
      <c r="M5" s="728" t="s">
        <v>725</v>
      </c>
      <c r="O5" s="732" t="s">
        <v>726</v>
      </c>
      <c r="P5" s="733" t="s">
        <v>727</v>
      </c>
      <c r="Q5" s="728" t="s">
        <v>728</v>
      </c>
      <c r="S5" s="732" t="s">
        <v>729</v>
      </c>
      <c r="T5" s="733" t="s">
        <v>730</v>
      </c>
      <c r="U5" s="728" t="s">
        <v>731</v>
      </c>
      <c r="W5" s="732" t="s">
        <v>732</v>
      </c>
      <c r="X5" s="733" t="s">
        <v>733</v>
      </c>
      <c r="Y5" s="728" t="s">
        <v>734</v>
      </c>
    </row>
    <row r="6" spans="1:25" x14ac:dyDescent="0.25">
      <c r="A6" s="123" t="s">
        <v>4</v>
      </c>
      <c r="B6" s="485">
        <v>2915.96</v>
      </c>
      <c r="C6" s="78">
        <f>SUM('K '!L15,'1-3 '!J15,'4-6'!J15,'7-8 '!J15,'9-12 '!J15,'Special Ed (Simplified)'!I15)</f>
        <v>186.0934763298053</v>
      </c>
      <c r="D6" s="54">
        <v>204.44</v>
      </c>
      <c r="E6" s="110">
        <f t="shared" ref="E6:E37" si="0">C6-D6</f>
        <v>-18.346523670194699</v>
      </c>
      <c r="F6" s="417"/>
      <c r="G6" s="108">
        <f>'Special Ed (Simplified)'!H15</f>
        <v>3.05</v>
      </c>
      <c r="H6" s="106">
        <v>0</v>
      </c>
      <c r="I6" s="117">
        <f>G6-H6</f>
        <v>3.05</v>
      </c>
      <c r="K6" s="108">
        <f>'Inst. Support '!D14</f>
        <v>8.331314285714285</v>
      </c>
      <c r="L6" s="106">
        <v>8.35</v>
      </c>
      <c r="M6" s="117">
        <f>K6-L6</f>
        <v>-1.8685714285714639E-2</v>
      </c>
      <c r="O6" s="108">
        <f>'Inst. Support '!G14</f>
        <v>4.2568759124087592</v>
      </c>
      <c r="P6" s="106">
        <v>8</v>
      </c>
      <c r="Q6" s="117">
        <f>O6-P6</f>
        <v>-3.7431240875912408</v>
      </c>
      <c r="S6" s="108">
        <f>'Inst. Support '!K14</f>
        <v>1.2902477876106195</v>
      </c>
      <c r="T6" s="106">
        <v>0</v>
      </c>
      <c r="U6" s="117">
        <f>S6-T6</f>
        <v>1.2902477876106195</v>
      </c>
      <c r="W6" s="108">
        <f>'Sch Admin'!D15</f>
        <v>12.406231755320354</v>
      </c>
      <c r="X6" s="106">
        <v>12</v>
      </c>
      <c r="Y6" s="117">
        <f>W6-X6</f>
        <v>0.40623175532035383</v>
      </c>
    </row>
    <row r="7" spans="1:25" x14ac:dyDescent="0.25">
      <c r="A7" s="123" t="s">
        <v>5</v>
      </c>
      <c r="B7" s="111">
        <v>23246.81</v>
      </c>
      <c r="C7" s="78">
        <f>SUM('K '!L16,'1-3 '!J16,'4-6'!J16,'7-8 '!J16,'9-12 '!J16,'Special Ed (Simplified)'!I16)</f>
        <v>1466.4360887812882</v>
      </c>
      <c r="D7" s="54">
        <v>1391.5800000000006</v>
      </c>
      <c r="E7" s="110">
        <f t="shared" si="0"/>
        <v>74.856088781287554</v>
      </c>
      <c r="F7" s="417"/>
      <c r="G7" s="108">
        <f>'Special Ed (Simplified)'!H16</f>
        <v>24.633333333333333</v>
      </c>
      <c r="H7" s="106">
        <v>27.310000000000002</v>
      </c>
      <c r="I7" s="117">
        <f t="shared" ref="I7:I70" si="1">G7-H7</f>
        <v>-2.6766666666666694</v>
      </c>
      <c r="K7" s="108">
        <f>'Inst. Support '!D15</f>
        <v>66.419457142857141</v>
      </c>
      <c r="L7" s="106">
        <v>72.11</v>
      </c>
      <c r="M7" s="117">
        <f t="shared" ref="M7:M70" si="2">K7-L7</f>
        <v>-5.6905428571428587</v>
      </c>
      <c r="O7" s="108">
        <f>'Inst. Support '!G15</f>
        <v>33.936948905109489</v>
      </c>
      <c r="P7" s="106">
        <v>39.42</v>
      </c>
      <c r="Q7" s="117">
        <f t="shared" ref="Q7:Q70" si="3">O7-P7</f>
        <v>-5.4830510948905129</v>
      </c>
      <c r="S7" s="108">
        <f>'Inst. Support '!K15</f>
        <v>10.286199115044248</v>
      </c>
      <c r="T7" s="106">
        <v>13.7</v>
      </c>
      <c r="U7" s="117">
        <f t="shared" ref="U7:U70" si="4">S7-T7</f>
        <v>-3.4138008849557515</v>
      </c>
      <c r="W7" s="108">
        <f>'Sch Admin'!D16</f>
        <v>97.762405918752549</v>
      </c>
      <c r="X7" s="106">
        <v>102</v>
      </c>
      <c r="Y7" s="117">
        <f t="shared" ref="Y7:Y70" si="5">W7-X7</f>
        <v>-4.2375940812474511</v>
      </c>
    </row>
    <row r="8" spans="1:25" x14ac:dyDescent="0.25">
      <c r="A8" s="123" t="s">
        <v>6</v>
      </c>
      <c r="B8" s="111">
        <v>1028.55</v>
      </c>
      <c r="C8" s="78">
        <f>SUM('K '!L17,'1-3 '!J17,'4-6'!J17,'7-8 '!J17,'9-12 '!J17,'Special Ed (Simplified)'!I17)</f>
        <v>69.316766251046957</v>
      </c>
      <c r="D8" s="54">
        <v>70.08</v>
      </c>
      <c r="E8" s="110">
        <f t="shared" si="0"/>
        <v>-0.76323374895304141</v>
      </c>
      <c r="F8" s="417"/>
      <c r="G8" s="108">
        <f>'Special Ed (Simplified)'!H17</f>
        <v>0.91666666666666663</v>
      </c>
      <c r="H8" s="106">
        <v>0</v>
      </c>
      <c r="I8" s="117">
        <f t="shared" si="1"/>
        <v>0.91666666666666663</v>
      </c>
      <c r="K8" s="108">
        <f>'Inst. Support '!D16</f>
        <v>2.9387142857142856</v>
      </c>
      <c r="L8" s="106">
        <v>4</v>
      </c>
      <c r="M8" s="117">
        <f t="shared" si="2"/>
        <v>-1.0612857142857144</v>
      </c>
      <c r="O8" s="108">
        <f>'Inst. Support '!G16</f>
        <v>1.5015328467153284</v>
      </c>
      <c r="P8" s="106">
        <v>2</v>
      </c>
      <c r="Q8" s="117">
        <f t="shared" si="3"/>
        <v>-0.49846715328467162</v>
      </c>
      <c r="S8" s="108">
        <f>'Inst. Support '!K16</f>
        <v>0.45511061946902653</v>
      </c>
      <c r="T8" s="106">
        <v>0</v>
      </c>
      <c r="U8" s="117">
        <f t="shared" si="4"/>
        <v>0.45511061946902653</v>
      </c>
      <c r="W8" s="108">
        <f>'Sch Admin'!D17</f>
        <v>4.6211177500697973</v>
      </c>
      <c r="X8" s="106">
        <v>8</v>
      </c>
      <c r="Y8" s="117">
        <f t="shared" si="5"/>
        <v>-3.3788822499302027</v>
      </c>
    </row>
    <row r="9" spans="1:25" x14ac:dyDescent="0.25">
      <c r="A9" s="123" t="s">
        <v>7</v>
      </c>
      <c r="B9" s="111">
        <v>9875.19</v>
      </c>
      <c r="C9" s="78">
        <f>SUM('K '!L18,'1-3 '!J18,'4-6'!J18,'7-8 '!J18,'9-12 '!J18,'Special Ed (Simplified)'!I18)</f>
        <v>601.41425616563811</v>
      </c>
      <c r="D9" s="54">
        <v>525.5200000000001</v>
      </c>
      <c r="E9" s="110">
        <f t="shared" si="0"/>
        <v>75.894256165638012</v>
      </c>
      <c r="F9" s="417"/>
      <c r="G9" s="108">
        <f>'Special Ed (Simplified)'!H18</f>
        <v>10.3</v>
      </c>
      <c r="H9" s="106">
        <v>3.06</v>
      </c>
      <c r="I9" s="117">
        <f t="shared" si="1"/>
        <v>7.24</v>
      </c>
      <c r="K9" s="108">
        <f>'Inst. Support '!D17</f>
        <v>28.214828571428573</v>
      </c>
      <c r="L9" s="106">
        <v>25.5</v>
      </c>
      <c r="M9" s="117">
        <f t="shared" si="2"/>
        <v>2.7148285714285727</v>
      </c>
      <c r="O9" s="108">
        <f>'Inst. Support '!G17</f>
        <v>14.416335766423359</v>
      </c>
      <c r="P9" s="106">
        <v>12</v>
      </c>
      <c r="Q9" s="117">
        <f t="shared" si="3"/>
        <v>2.4163357664233587</v>
      </c>
      <c r="S9" s="108">
        <f>'Inst. Support '!K17</f>
        <v>4.3695530973451326</v>
      </c>
      <c r="T9" s="106">
        <v>1</v>
      </c>
      <c r="U9" s="117">
        <f t="shared" si="4"/>
        <v>3.3695530973451326</v>
      </c>
      <c r="W9" s="108">
        <f>'Sch Admin'!D18</f>
        <v>40.094283744375872</v>
      </c>
      <c r="X9" s="106">
        <v>33</v>
      </c>
      <c r="Y9" s="117">
        <f t="shared" si="5"/>
        <v>7.0942837443758719</v>
      </c>
    </row>
    <row r="10" spans="1:25" x14ac:dyDescent="0.25">
      <c r="A10" s="123" t="s">
        <v>8</v>
      </c>
      <c r="B10" s="111">
        <v>3618.89</v>
      </c>
      <c r="C10" s="78">
        <f>SUM('K '!L19,'1-3 '!J19,'4-6'!J19,'7-8 '!J19,'9-12 '!J19,'Special Ed (Simplified)'!I19)</f>
        <v>232.05412247449564</v>
      </c>
      <c r="D10" s="54">
        <v>200.24999999999994</v>
      </c>
      <c r="E10" s="110">
        <f t="shared" si="0"/>
        <v>31.804122474495699</v>
      </c>
      <c r="F10" s="417"/>
      <c r="G10" s="108">
        <f>'Special Ed (Simplified)'!H19</f>
        <v>4.4416666666666664</v>
      </c>
      <c r="H10" s="106">
        <v>0.5</v>
      </c>
      <c r="I10" s="117">
        <f t="shared" si="1"/>
        <v>3.9416666666666664</v>
      </c>
      <c r="K10" s="108">
        <f>'Inst. Support '!D18</f>
        <v>10.339685714285714</v>
      </c>
      <c r="L10" s="106">
        <v>10</v>
      </c>
      <c r="M10" s="117">
        <f t="shared" si="2"/>
        <v>0.33968571428571437</v>
      </c>
      <c r="O10" s="108">
        <f>'Inst. Support '!G18</f>
        <v>5.2830510948905109</v>
      </c>
      <c r="P10" s="106">
        <v>6.96</v>
      </c>
      <c r="Q10" s="117">
        <f t="shared" si="3"/>
        <v>-1.676948905109489</v>
      </c>
      <c r="S10" s="108">
        <f>'Inst. Support '!K18</f>
        <v>1.6012787610619468</v>
      </c>
      <c r="T10" s="106">
        <v>3</v>
      </c>
      <c r="U10" s="117">
        <f t="shared" si="4"/>
        <v>-1.3987212389380532</v>
      </c>
      <c r="W10" s="108">
        <f>'Sch Admin'!D19</f>
        <v>15.470274831633043</v>
      </c>
      <c r="X10" s="106">
        <v>15</v>
      </c>
      <c r="Y10" s="117">
        <f t="shared" si="5"/>
        <v>0.47027483163304318</v>
      </c>
    </row>
    <row r="11" spans="1:25" x14ac:dyDescent="0.25">
      <c r="A11" s="123" t="s">
        <v>9</v>
      </c>
      <c r="B11" s="111">
        <v>2479.0500000000002</v>
      </c>
      <c r="C11" s="78">
        <f>SUM('K '!L20,'1-3 '!J20,'4-6'!J20,'7-8 '!J20,'9-12 '!J20,'Special Ed (Simplified)'!I20)</f>
        <v>161.82754788098188</v>
      </c>
      <c r="D11" s="54">
        <v>154.45000000000002</v>
      </c>
      <c r="E11" s="110">
        <f t="shared" si="0"/>
        <v>7.3775478809818651</v>
      </c>
      <c r="F11" s="417"/>
      <c r="G11" s="108">
        <f>'Special Ed (Simplified)'!H20</f>
        <v>2.9750000000000001</v>
      </c>
      <c r="H11" s="106">
        <v>0.5</v>
      </c>
      <c r="I11" s="117">
        <f t="shared" si="1"/>
        <v>2.4750000000000001</v>
      </c>
      <c r="K11" s="108">
        <f>'Inst. Support '!D19</f>
        <v>7.0830000000000002</v>
      </c>
      <c r="L11" s="106">
        <v>6.94</v>
      </c>
      <c r="M11" s="117">
        <f t="shared" si="2"/>
        <v>0.14299999999999979</v>
      </c>
      <c r="O11" s="108">
        <f>'Inst. Support '!G19</f>
        <v>3.6190510948905112</v>
      </c>
      <c r="P11" s="106">
        <v>5</v>
      </c>
      <c r="Q11" s="117">
        <f t="shared" si="3"/>
        <v>-1.3809489051094888</v>
      </c>
      <c r="S11" s="108">
        <f>'Inst. Support '!K19</f>
        <v>1.0969247787610621</v>
      </c>
      <c r="T11" s="106">
        <v>0</v>
      </c>
      <c r="U11" s="117">
        <f t="shared" si="4"/>
        <v>1.0969247787610621</v>
      </c>
      <c r="W11" s="108">
        <f>'Sch Admin'!D20</f>
        <v>10.788503192065459</v>
      </c>
      <c r="X11" s="106">
        <v>9</v>
      </c>
      <c r="Y11" s="117">
        <f t="shared" si="5"/>
        <v>1.788503192065459</v>
      </c>
    </row>
    <row r="12" spans="1:25" x14ac:dyDescent="0.25">
      <c r="A12" s="123" t="s">
        <v>10</v>
      </c>
      <c r="B12" s="111">
        <v>2744.29</v>
      </c>
      <c r="C12" s="78">
        <f>SUM('K '!L21,'1-3 '!J21,'4-6'!J21,'7-8 '!J21,'9-12 '!J21,'Special Ed (Simplified)'!I21)</f>
        <v>174.96329925459273</v>
      </c>
      <c r="D12" s="54">
        <v>182.91000000000003</v>
      </c>
      <c r="E12" s="110">
        <f t="shared" si="0"/>
        <v>-7.9467007454072984</v>
      </c>
      <c r="F12" s="417"/>
      <c r="G12" s="108">
        <f>'Special Ed (Simplified)'!H21</f>
        <v>3.3333333333333335</v>
      </c>
      <c r="H12" s="106">
        <v>3.7399999999999998</v>
      </c>
      <c r="I12" s="117">
        <f t="shared" si="1"/>
        <v>-0.40666666666666629</v>
      </c>
      <c r="K12" s="108">
        <f>'Inst. Support '!D20</f>
        <v>7.8408285714285713</v>
      </c>
      <c r="L12" s="106">
        <v>9</v>
      </c>
      <c r="M12" s="117">
        <f t="shared" si="2"/>
        <v>-1.1591714285714287</v>
      </c>
      <c r="O12" s="108">
        <f>'Inst. Support '!G20</f>
        <v>4.0062627737226277</v>
      </c>
      <c r="P12" s="106">
        <v>5.37</v>
      </c>
      <c r="Q12" s="117">
        <f t="shared" si="3"/>
        <v>-1.3637372262773724</v>
      </c>
      <c r="S12" s="108">
        <f>'Inst. Support '!K20</f>
        <v>1.2142876106194691</v>
      </c>
      <c r="T12" s="106">
        <v>1</v>
      </c>
      <c r="U12" s="117">
        <f t="shared" si="4"/>
        <v>0.2142876106194691</v>
      </c>
      <c r="W12" s="108">
        <f>'Sch Admin'!D21</f>
        <v>11.664219950306181</v>
      </c>
      <c r="X12" s="106">
        <v>10</v>
      </c>
      <c r="Y12" s="117">
        <f t="shared" si="5"/>
        <v>1.6642199503061814</v>
      </c>
    </row>
    <row r="13" spans="1:25" x14ac:dyDescent="0.25">
      <c r="A13" s="123" t="s">
        <v>11</v>
      </c>
      <c r="B13" s="111">
        <v>12671.61</v>
      </c>
      <c r="C13" s="78">
        <f>SUM('K '!L22,'1-3 '!J22,'4-6'!J22,'7-8 '!J22,'9-12 '!J22,'Special Ed (Simplified)'!I22)</f>
        <v>801.04198960022097</v>
      </c>
      <c r="D13" s="54">
        <v>791.22</v>
      </c>
      <c r="E13" s="110">
        <f t="shared" si="0"/>
        <v>9.8219896002209452</v>
      </c>
      <c r="F13" s="417"/>
      <c r="G13" s="108">
        <f>'Special Ed (Simplified)'!H22</f>
        <v>13.858333333333333</v>
      </c>
      <c r="H13" s="106">
        <v>0</v>
      </c>
      <c r="I13" s="117">
        <f t="shared" si="1"/>
        <v>13.858333333333333</v>
      </c>
      <c r="K13" s="108">
        <f>'Inst. Support '!D21</f>
        <v>36.204599999999999</v>
      </c>
      <c r="L13" s="106">
        <v>33.450000000000003</v>
      </c>
      <c r="M13" s="117">
        <f t="shared" si="2"/>
        <v>2.7545999999999964</v>
      </c>
      <c r="O13" s="108">
        <f>'Inst. Support '!G21</f>
        <v>18.498700729927009</v>
      </c>
      <c r="P13" s="106">
        <v>16.310000000000002</v>
      </c>
      <c r="Q13" s="117">
        <f t="shared" si="3"/>
        <v>2.1887007299270067</v>
      </c>
      <c r="S13" s="108">
        <f>'Inst. Support '!K21</f>
        <v>5.6069070796460183</v>
      </c>
      <c r="T13" s="106">
        <v>2.96</v>
      </c>
      <c r="U13" s="117">
        <f t="shared" si="4"/>
        <v>2.6469070796460183</v>
      </c>
      <c r="W13" s="108">
        <f>'Sch Admin'!D22</f>
        <v>53.402799306681395</v>
      </c>
      <c r="X13" s="106">
        <v>52</v>
      </c>
      <c r="Y13" s="117">
        <f t="shared" si="5"/>
        <v>1.4027993066813949</v>
      </c>
    </row>
    <row r="14" spans="1:25" x14ac:dyDescent="0.25">
      <c r="A14" s="123" t="s">
        <v>12</v>
      </c>
      <c r="B14" s="111">
        <v>1256.76</v>
      </c>
      <c r="C14" s="78">
        <f>SUM('K '!L23,'1-3 '!J23,'4-6'!J23,'7-8 '!J23,'9-12 '!J23,'Special Ed (Simplified)'!I23)</f>
        <v>82.03054419581116</v>
      </c>
      <c r="D14" s="54">
        <v>85.52</v>
      </c>
      <c r="E14" s="110">
        <f t="shared" si="0"/>
        <v>-3.4894558041888359</v>
      </c>
      <c r="F14" s="417"/>
      <c r="G14" s="108">
        <f>'Special Ed (Simplified)'!H23</f>
        <v>1.35</v>
      </c>
      <c r="H14" s="106">
        <v>0</v>
      </c>
      <c r="I14" s="117">
        <f t="shared" si="1"/>
        <v>1.35</v>
      </c>
      <c r="K14" s="108">
        <f>'Inst. Support '!D22</f>
        <v>3.5907428571428572</v>
      </c>
      <c r="L14" s="106">
        <v>4</v>
      </c>
      <c r="M14" s="117">
        <f t="shared" si="2"/>
        <v>-0.40925714285714276</v>
      </c>
      <c r="O14" s="108">
        <f>'Inst. Support '!G22</f>
        <v>1.8346861313868612</v>
      </c>
      <c r="P14" s="106">
        <v>3</v>
      </c>
      <c r="Q14" s="117">
        <f t="shared" si="3"/>
        <v>-1.1653138686131388</v>
      </c>
      <c r="S14" s="108">
        <f>'Inst. Support '!K22</f>
        <v>0.55608849557522122</v>
      </c>
      <c r="T14" s="106">
        <v>0</v>
      </c>
      <c r="U14" s="117">
        <f t="shared" si="4"/>
        <v>0.55608849557522122</v>
      </c>
      <c r="W14" s="108">
        <f>'Sch Admin'!D23</f>
        <v>5.4687029463874106</v>
      </c>
      <c r="X14" s="106">
        <v>5</v>
      </c>
      <c r="Y14" s="117">
        <f t="shared" si="5"/>
        <v>0.46870294638741061</v>
      </c>
    </row>
    <row r="15" spans="1:25" x14ac:dyDescent="0.25">
      <c r="A15" s="123" t="s">
        <v>13</v>
      </c>
      <c r="B15" s="111">
        <v>638.25</v>
      </c>
      <c r="C15" s="78">
        <f>SUM('K '!L24,'1-3 '!J24,'4-6'!J24,'7-8 '!J24,'9-12 '!J24,'Special Ed (Simplified)'!I24)</f>
        <v>45.809135494692619</v>
      </c>
      <c r="D15" s="54">
        <v>49.25</v>
      </c>
      <c r="E15" s="110">
        <f t="shared" si="0"/>
        <v>-3.4408645053073812</v>
      </c>
      <c r="F15" s="417"/>
      <c r="G15" s="108">
        <f>'Special Ed (Simplified)'!H24</f>
        <v>0.94166666666666665</v>
      </c>
      <c r="H15" s="106">
        <v>0</v>
      </c>
      <c r="I15" s="117">
        <f t="shared" si="1"/>
        <v>0.94166666666666665</v>
      </c>
      <c r="K15" s="108">
        <f>'Inst. Support '!D23</f>
        <v>1.8235714285714286</v>
      </c>
      <c r="L15" s="106">
        <v>2.88</v>
      </c>
      <c r="M15" s="117">
        <f t="shared" si="2"/>
        <v>-1.0564285714285713</v>
      </c>
      <c r="O15" s="108">
        <f>'Inst. Support '!G23</f>
        <v>0.93175182481751828</v>
      </c>
      <c r="P15" s="106">
        <v>1</v>
      </c>
      <c r="Q15" s="117">
        <f t="shared" si="3"/>
        <v>-6.8248175182481718E-2</v>
      </c>
      <c r="S15" s="108">
        <f>'Inst. Support '!K23</f>
        <v>0.28241150442477875</v>
      </c>
      <c r="T15" s="106">
        <v>0</v>
      </c>
      <c r="U15" s="117">
        <f t="shared" si="4"/>
        <v>0.28241150442477875</v>
      </c>
      <c r="W15" s="108">
        <f>'Sch Admin'!D24</f>
        <v>3.0539423663128411</v>
      </c>
      <c r="X15" s="106">
        <v>4</v>
      </c>
      <c r="Y15" s="117">
        <f t="shared" si="5"/>
        <v>-0.94605763368715889</v>
      </c>
    </row>
    <row r="16" spans="1:25" x14ac:dyDescent="0.25">
      <c r="A16" s="123" t="s">
        <v>14</v>
      </c>
      <c r="B16" s="111">
        <v>587.14</v>
      </c>
      <c r="C16" s="78">
        <f>SUM('K '!L25,'1-3 '!J25,'4-6'!J25,'7-8 '!J25,'9-12 '!J25,'Special Ed (Simplified)'!I25)</f>
        <v>40.998846091204371</v>
      </c>
      <c r="D16" s="54">
        <v>27.98</v>
      </c>
      <c r="E16" s="110">
        <f t="shared" si="0"/>
        <v>13.01884609120437</v>
      </c>
      <c r="F16" s="417"/>
      <c r="G16" s="108">
        <f>'Special Ed (Simplified)'!H25</f>
        <v>0.6</v>
      </c>
      <c r="H16" s="106">
        <v>0</v>
      </c>
      <c r="I16" s="117">
        <f t="shared" si="1"/>
        <v>0.6</v>
      </c>
      <c r="K16" s="108">
        <f>'Inst. Support '!D24</f>
        <v>1.677542857142857</v>
      </c>
      <c r="L16" s="106">
        <v>1</v>
      </c>
      <c r="M16" s="117">
        <f t="shared" si="2"/>
        <v>0.677542857142857</v>
      </c>
      <c r="O16" s="108">
        <f>'Inst. Support '!G24</f>
        <v>0.85713868613138688</v>
      </c>
      <c r="P16" s="106">
        <v>1</v>
      </c>
      <c r="Q16" s="117">
        <f t="shared" si="3"/>
        <v>-0.14286131386861312</v>
      </c>
      <c r="S16" s="108">
        <f>'Inst. Support '!K24</f>
        <v>0.25979646017699115</v>
      </c>
      <c r="T16" s="106">
        <v>1</v>
      </c>
      <c r="U16" s="117">
        <f t="shared" si="4"/>
        <v>-0.7402035398230089</v>
      </c>
      <c r="W16" s="108">
        <f>'Sch Admin'!D25</f>
        <v>2.7332564060802915</v>
      </c>
      <c r="X16" s="106">
        <v>3</v>
      </c>
      <c r="Y16" s="117">
        <f t="shared" si="5"/>
        <v>-0.26674359391970848</v>
      </c>
    </row>
    <row r="17" spans="1:25" x14ac:dyDescent="0.25">
      <c r="A17" s="123" t="s">
        <v>15</v>
      </c>
      <c r="B17" s="111">
        <v>822.79</v>
      </c>
      <c r="C17" s="78">
        <f>SUM('K '!L26,'1-3 '!J26,'4-6'!J26,'7-8 '!J26,'9-12 '!J26,'Special Ed (Simplified)'!I26)</f>
        <v>54.369716113994578</v>
      </c>
      <c r="D17" s="54">
        <v>53.78</v>
      </c>
      <c r="E17" s="110">
        <f t="shared" si="0"/>
        <v>0.58971611399457657</v>
      </c>
      <c r="F17" s="417"/>
      <c r="G17" s="108">
        <f>'Special Ed (Simplified)'!H26</f>
        <v>0.83333333333333337</v>
      </c>
      <c r="H17" s="106">
        <v>0</v>
      </c>
      <c r="I17" s="117">
        <f t="shared" si="1"/>
        <v>0.83333333333333337</v>
      </c>
      <c r="K17" s="108">
        <f>'Inst. Support '!D25</f>
        <v>2.3508285714285715</v>
      </c>
      <c r="L17" s="106">
        <v>3</v>
      </c>
      <c r="M17" s="117">
        <f t="shared" si="2"/>
        <v>-0.64917142857142851</v>
      </c>
      <c r="O17" s="108">
        <f>'Inst. Support '!G25</f>
        <v>1.2011532846715327</v>
      </c>
      <c r="P17" s="106">
        <v>1.37</v>
      </c>
      <c r="Q17" s="117">
        <f t="shared" si="3"/>
        <v>-0.1688467153284674</v>
      </c>
      <c r="S17" s="108">
        <f>'Inst. Support '!K25</f>
        <v>0.36406637168141592</v>
      </c>
      <c r="T17" s="106">
        <v>3</v>
      </c>
      <c r="U17" s="117">
        <f t="shared" si="4"/>
        <v>-2.6359336283185839</v>
      </c>
      <c r="W17" s="108">
        <f>'Sch Admin'!D26</f>
        <v>3.6246477409329718</v>
      </c>
      <c r="X17" s="106">
        <v>3</v>
      </c>
      <c r="Y17" s="117">
        <f t="shared" si="5"/>
        <v>0.62464774093297182</v>
      </c>
    </row>
    <row r="18" spans="1:25" x14ac:dyDescent="0.25">
      <c r="A18" s="123" t="s">
        <v>16</v>
      </c>
      <c r="B18" s="111">
        <v>2117.3200000000002</v>
      </c>
      <c r="C18" s="78">
        <f>SUM('K '!L27,'1-3 '!J27,'4-6'!J27,'7-8 '!J27,'9-12 '!J27,'Special Ed (Simplified)'!I27)</f>
        <v>140.96700045489638</v>
      </c>
      <c r="D18" s="54">
        <v>122.56999999999996</v>
      </c>
      <c r="E18" s="110">
        <f t="shared" si="0"/>
        <v>18.397000454896414</v>
      </c>
      <c r="F18" s="417"/>
      <c r="G18" s="108">
        <f>'Special Ed (Simplified)'!H27</f>
        <v>2.6583333333333332</v>
      </c>
      <c r="H18" s="106">
        <v>1.6099999999999999</v>
      </c>
      <c r="I18" s="117">
        <f t="shared" si="1"/>
        <v>1.0483333333333333</v>
      </c>
      <c r="K18" s="108">
        <f>'Inst. Support '!D26</f>
        <v>6.0494857142857148</v>
      </c>
      <c r="L18" s="106">
        <v>5</v>
      </c>
      <c r="M18" s="117">
        <f t="shared" si="2"/>
        <v>1.0494857142857148</v>
      </c>
      <c r="O18" s="108">
        <f>'Inst. Support '!G26</f>
        <v>3.0909781021897813</v>
      </c>
      <c r="P18" s="106">
        <v>4</v>
      </c>
      <c r="Q18" s="117">
        <f t="shared" si="3"/>
        <v>-0.90902189781021869</v>
      </c>
      <c r="S18" s="108">
        <f>'Inst. Support '!K26</f>
        <v>0.93686725663716819</v>
      </c>
      <c r="T18" s="106">
        <v>3.24</v>
      </c>
      <c r="U18" s="117">
        <f t="shared" si="4"/>
        <v>-2.3031327433628319</v>
      </c>
      <c r="W18" s="108">
        <f>'Sch Admin'!D27</f>
        <v>9.397800030326426</v>
      </c>
      <c r="X18" s="106">
        <v>9</v>
      </c>
      <c r="Y18" s="117">
        <f t="shared" si="5"/>
        <v>0.39780003032642597</v>
      </c>
    </row>
    <row r="19" spans="1:25" x14ac:dyDescent="0.25">
      <c r="A19" s="123" t="s">
        <v>17</v>
      </c>
      <c r="B19" s="111">
        <v>21287.25</v>
      </c>
      <c r="C19" s="78">
        <f>SUM('K '!L28,'1-3 '!J28,'4-6'!J28,'7-8 '!J28,'9-12 '!J28,'Special Ed (Simplified)'!I28)</f>
        <v>1276.8656224340612</v>
      </c>
      <c r="D19" s="54">
        <v>1477.6000000000001</v>
      </c>
      <c r="E19" s="110">
        <f t="shared" si="0"/>
        <v>-200.73437756593898</v>
      </c>
      <c r="F19" s="417"/>
      <c r="G19" s="108">
        <f>'Special Ed (Simplified)'!H28</f>
        <v>16.358333333333334</v>
      </c>
      <c r="H19" s="106">
        <v>28</v>
      </c>
      <c r="I19" s="117">
        <f t="shared" si="1"/>
        <v>-11.641666666666666</v>
      </c>
      <c r="K19" s="108">
        <f>'Inst. Support '!D27</f>
        <v>60.820714285714288</v>
      </c>
      <c r="L19" s="106">
        <v>61.27</v>
      </c>
      <c r="M19" s="117">
        <f t="shared" si="2"/>
        <v>-0.44928571428571473</v>
      </c>
      <c r="O19" s="108">
        <f>'Inst. Support '!G27</f>
        <v>31.076277372262773</v>
      </c>
      <c r="P19" s="106">
        <v>29.22</v>
      </c>
      <c r="Q19" s="117">
        <f t="shared" si="3"/>
        <v>1.8562773722627739</v>
      </c>
      <c r="S19" s="108">
        <f>'Inst. Support '!K27</f>
        <v>9.4191371681415923</v>
      </c>
      <c r="T19" s="106">
        <v>3</v>
      </c>
      <c r="U19" s="117">
        <f t="shared" si="4"/>
        <v>6.4191371681415923</v>
      </c>
      <c r="W19" s="108">
        <f>'Sch Admin'!D28</f>
        <v>85.124374828937405</v>
      </c>
      <c r="X19" s="106">
        <v>91</v>
      </c>
      <c r="Y19" s="117">
        <f t="shared" si="5"/>
        <v>-5.8756251710625946</v>
      </c>
    </row>
    <row r="20" spans="1:25" x14ac:dyDescent="0.25">
      <c r="A20" s="123" t="s">
        <v>18</v>
      </c>
      <c r="B20" s="111">
        <v>34520.18</v>
      </c>
      <c r="C20" s="78">
        <f>SUM('K '!L29,'1-3 '!J29,'4-6'!J29,'7-8 '!J29,'9-12 '!J29,'Special Ed (Simplified)'!I29)</f>
        <v>2112.1296814906145</v>
      </c>
      <c r="D20" s="54">
        <v>2020.7100000000005</v>
      </c>
      <c r="E20" s="110">
        <f t="shared" si="0"/>
        <v>91.419681490614039</v>
      </c>
      <c r="F20" s="417"/>
      <c r="G20" s="108">
        <f>'Special Ed (Simplified)'!H29</f>
        <v>33.1</v>
      </c>
      <c r="H20" s="106">
        <v>18.09</v>
      </c>
      <c r="I20" s="117">
        <f t="shared" si="1"/>
        <v>15.010000000000002</v>
      </c>
      <c r="K20" s="108">
        <f>'Inst. Support '!D28</f>
        <v>98.629085714285722</v>
      </c>
      <c r="L20" s="106">
        <v>93.649999999999991</v>
      </c>
      <c r="M20" s="117">
        <f t="shared" si="2"/>
        <v>4.9790857142857305</v>
      </c>
      <c r="O20" s="108">
        <f>'Inst. Support '!G28</f>
        <v>50.394423357664238</v>
      </c>
      <c r="P20" s="106">
        <v>47.78</v>
      </c>
      <c r="Q20" s="117">
        <f t="shared" si="3"/>
        <v>2.6144233576642364</v>
      </c>
      <c r="S20" s="108">
        <f>'Inst. Support '!K28</f>
        <v>15.27441592920354</v>
      </c>
      <c r="T20" s="106">
        <v>7.88</v>
      </c>
      <c r="U20" s="117">
        <f t="shared" si="4"/>
        <v>7.3944159292035403</v>
      </c>
      <c r="W20" s="108">
        <f>'Sch Admin'!D29</f>
        <v>140.80864543270764</v>
      </c>
      <c r="X20" s="106">
        <v>130</v>
      </c>
      <c r="Y20" s="117">
        <f t="shared" si="5"/>
        <v>10.808645432707635</v>
      </c>
    </row>
    <row r="21" spans="1:25" x14ac:dyDescent="0.25">
      <c r="A21" s="123" t="s">
        <v>19</v>
      </c>
      <c r="B21" s="111">
        <v>1587.18</v>
      </c>
      <c r="C21" s="78">
        <f>SUM('K '!L30,'1-3 '!J30,'4-6'!J30,'7-8 '!J30,'9-12 '!J30,'Special Ed (Simplified)'!I30)</f>
        <v>106.40035626933674</v>
      </c>
      <c r="D21" s="54">
        <v>100.89999999999999</v>
      </c>
      <c r="E21" s="110">
        <f t="shared" si="0"/>
        <v>5.5003562693367485</v>
      </c>
      <c r="F21" s="417"/>
      <c r="G21" s="108">
        <f>'Special Ed (Simplified)'!H30</f>
        <v>1.95</v>
      </c>
      <c r="H21" s="106">
        <v>0.5</v>
      </c>
      <c r="I21" s="117">
        <f t="shared" si="1"/>
        <v>1.45</v>
      </c>
      <c r="K21" s="108">
        <f>'Inst. Support '!D29</f>
        <v>4.5348000000000006</v>
      </c>
      <c r="L21" s="106">
        <v>5.6</v>
      </c>
      <c r="M21" s="117">
        <f t="shared" si="2"/>
        <v>-1.065199999999999</v>
      </c>
      <c r="O21" s="108">
        <f>'Inst. Support '!G29</f>
        <v>2.3170510948905112</v>
      </c>
      <c r="P21" s="106">
        <v>3</v>
      </c>
      <c r="Q21" s="117">
        <f t="shared" si="3"/>
        <v>-0.6829489051094888</v>
      </c>
      <c r="S21" s="108">
        <f>'Inst. Support '!K29</f>
        <v>0.70229203539823015</v>
      </c>
      <c r="T21" s="106">
        <v>0</v>
      </c>
      <c r="U21" s="117">
        <f t="shared" si="4"/>
        <v>0.70229203539823015</v>
      </c>
      <c r="W21" s="108">
        <f>'Sch Admin'!D30</f>
        <v>7.0933570846224496</v>
      </c>
      <c r="X21" s="106">
        <v>6</v>
      </c>
      <c r="Y21" s="117">
        <f t="shared" si="5"/>
        <v>1.0933570846224496</v>
      </c>
    </row>
    <row r="22" spans="1:25" x14ac:dyDescent="0.25">
      <c r="A22" s="123" t="s">
        <v>20</v>
      </c>
      <c r="B22" s="111">
        <v>46485.36</v>
      </c>
      <c r="C22" s="78">
        <f>SUM('K '!L31,'1-3 '!J31,'4-6'!J31,'7-8 '!J31,'9-12 '!J31,'Special Ed (Simplified)'!I31)</f>
        <v>2764.1147514120739</v>
      </c>
      <c r="D22" s="54">
        <v>2987.7599999999993</v>
      </c>
      <c r="E22" s="110">
        <f t="shared" si="0"/>
        <v>-223.64524858792538</v>
      </c>
      <c r="F22" s="417"/>
      <c r="G22" s="108">
        <f>'Special Ed (Simplified)'!H31</f>
        <v>38.033333333333331</v>
      </c>
      <c r="H22" s="106">
        <v>54.82</v>
      </c>
      <c r="I22" s="117">
        <f t="shared" si="1"/>
        <v>-16.786666666666669</v>
      </c>
      <c r="K22" s="108">
        <f>'Inst. Support '!D30</f>
        <v>132.81531428571429</v>
      </c>
      <c r="L22" s="106">
        <v>154.38999999999996</v>
      </c>
      <c r="M22" s="117">
        <f t="shared" si="2"/>
        <v>-21.574685714285664</v>
      </c>
      <c r="O22" s="108">
        <f>'Inst. Support '!G30</f>
        <v>67.861839416058402</v>
      </c>
      <c r="P22" s="106">
        <v>71.28</v>
      </c>
      <c r="Q22" s="117">
        <f t="shared" si="3"/>
        <v>-3.4181605839415994</v>
      </c>
      <c r="S22" s="108">
        <f>'Inst. Support '!K30</f>
        <v>20.56874336283186</v>
      </c>
      <c r="T22" s="106">
        <v>0</v>
      </c>
      <c r="U22" s="117">
        <f t="shared" si="4"/>
        <v>20.56874336283186</v>
      </c>
      <c r="W22" s="108">
        <f>'Sch Admin'!D31</f>
        <v>184.27431676080494</v>
      </c>
      <c r="X22" s="106">
        <v>211</v>
      </c>
      <c r="Y22" s="117">
        <f t="shared" si="5"/>
        <v>-26.725683239195064</v>
      </c>
    </row>
    <row r="23" spans="1:25" x14ac:dyDescent="0.25">
      <c r="A23" s="123" t="s">
        <v>21</v>
      </c>
      <c r="B23" s="111">
        <v>8259.2199999999993</v>
      </c>
      <c r="C23" s="78">
        <f>SUM('K '!L32,'1-3 '!J32,'4-6'!J32,'7-8 '!J32,'9-12 '!J32,'Special Ed (Simplified)'!I32)</f>
        <v>528.80302009104196</v>
      </c>
      <c r="D23" s="54">
        <v>538.05000000000007</v>
      </c>
      <c r="E23" s="110">
        <f t="shared" si="0"/>
        <v>-9.2469799089581102</v>
      </c>
      <c r="F23" s="417"/>
      <c r="G23" s="108">
        <f>'Special Ed (Simplified)'!H32</f>
        <v>8.2833333333333332</v>
      </c>
      <c r="H23" s="106">
        <v>0.63</v>
      </c>
      <c r="I23" s="117">
        <f t="shared" si="1"/>
        <v>7.6533333333333333</v>
      </c>
      <c r="K23" s="108">
        <f>'Inst. Support '!D31</f>
        <v>23.597771428571427</v>
      </c>
      <c r="L23" s="106">
        <v>28.959999999999997</v>
      </c>
      <c r="M23" s="117">
        <f t="shared" si="2"/>
        <v>-5.3622285714285702</v>
      </c>
      <c r="O23" s="108">
        <f>'Inst. Support '!G31</f>
        <v>12.057255474452553</v>
      </c>
      <c r="P23" s="106">
        <v>14.950000000000001</v>
      </c>
      <c r="Q23" s="117">
        <f t="shared" si="3"/>
        <v>-2.8927445255474478</v>
      </c>
      <c r="S23" s="108">
        <f>'Inst. Support '!K31</f>
        <v>3.654522123893805</v>
      </c>
      <c r="T23" s="106">
        <v>0</v>
      </c>
      <c r="U23" s="117">
        <f t="shared" si="4"/>
        <v>3.654522123893805</v>
      </c>
      <c r="W23" s="108">
        <f>'Sch Admin'!D32</f>
        <v>35.25353467273613</v>
      </c>
      <c r="X23" s="106">
        <v>30</v>
      </c>
      <c r="Y23" s="117">
        <f t="shared" si="5"/>
        <v>5.2535346727361301</v>
      </c>
    </row>
    <row r="24" spans="1:25" x14ac:dyDescent="0.25">
      <c r="A24" s="123" t="s">
        <v>22</v>
      </c>
      <c r="B24" s="111">
        <v>4970.04</v>
      </c>
      <c r="C24" s="78">
        <f>SUM('K '!L33,'1-3 '!J33,'4-6'!J33,'7-8 '!J33,'9-12 '!J33,'Special Ed (Simplified)'!I33)</f>
        <v>323.99397119970934</v>
      </c>
      <c r="D24" s="54">
        <v>333.29000000000008</v>
      </c>
      <c r="E24" s="110">
        <f t="shared" si="0"/>
        <v>-9.2960288002907419</v>
      </c>
      <c r="F24" s="417"/>
      <c r="G24" s="108">
        <f>'Special Ed (Simplified)'!H33</f>
        <v>5.3</v>
      </c>
      <c r="H24" s="106">
        <v>1</v>
      </c>
      <c r="I24" s="117">
        <f t="shared" si="1"/>
        <v>4.3</v>
      </c>
      <c r="K24" s="108">
        <f>'Inst. Support '!D32</f>
        <v>14.200114285714285</v>
      </c>
      <c r="L24" s="106">
        <v>13.47</v>
      </c>
      <c r="M24" s="117">
        <f t="shared" si="2"/>
        <v>0.73011428571428461</v>
      </c>
      <c r="O24" s="108">
        <f>'Inst. Support '!G32</f>
        <v>7.2555328467153286</v>
      </c>
      <c r="P24" s="106">
        <v>7</v>
      </c>
      <c r="Q24" s="117">
        <f t="shared" si="3"/>
        <v>0.25553284671532861</v>
      </c>
      <c r="S24" s="108">
        <f>'Inst. Support '!K32</f>
        <v>2.1991327433628318</v>
      </c>
      <c r="T24" s="106">
        <v>2</v>
      </c>
      <c r="U24" s="117">
        <f t="shared" si="4"/>
        <v>0.19913274336283182</v>
      </c>
      <c r="W24" s="108">
        <f>'Sch Admin'!D33</f>
        <v>21.599598079980623</v>
      </c>
      <c r="X24" s="106">
        <v>25</v>
      </c>
      <c r="Y24" s="117">
        <f t="shared" si="5"/>
        <v>-3.4004019200193767</v>
      </c>
    </row>
    <row r="25" spans="1:25" x14ac:dyDescent="0.25">
      <c r="A25" s="123" t="s">
        <v>23</v>
      </c>
      <c r="B25" s="111">
        <v>6691.02</v>
      </c>
      <c r="C25" s="78">
        <f>SUM('K '!L34,'1-3 '!J34,'4-6'!J34,'7-8 '!J34,'9-12 '!J34,'Special Ed (Simplified)'!I34)</f>
        <v>423.81762826024436</v>
      </c>
      <c r="D25" s="54">
        <v>430.69</v>
      </c>
      <c r="E25" s="110">
        <f t="shared" si="0"/>
        <v>-6.8723717397556356</v>
      </c>
      <c r="F25" s="417"/>
      <c r="G25" s="108">
        <f>'Special Ed (Simplified)'!H34</f>
        <v>5.85</v>
      </c>
      <c r="H25" s="106">
        <v>2.6</v>
      </c>
      <c r="I25" s="117">
        <f t="shared" si="1"/>
        <v>3.2499999999999996</v>
      </c>
      <c r="K25" s="108">
        <f>'Inst. Support '!D33</f>
        <v>19.1172</v>
      </c>
      <c r="L25" s="106">
        <v>16.28</v>
      </c>
      <c r="M25" s="117">
        <f t="shared" si="2"/>
        <v>2.8371999999999993</v>
      </c>
      <c r="O25" s="108">
        <f>'Inst. Support '!G33</f>
        <v>9.7679124087591251</v>
      </c>
      <c r="P25" s="106">
        <v>13.93</v>
      </c>
      <c r="Q25" s="117">
        <f t="shared" si="3"/>
        <v>-4.1620875912408746</v>
      </c>
      <c r="S25" s="108">
        <f>'Inst. Support '!K33</f>
        <v>2.9606283185840709</v>
      </c>
      <c r="T25" s="106">
        <v>6</v>
      </c>
      <c r="U25" s="117">
        <f t="shared" si="4"/>
        <v>-3.0393716814159291</v>
      </c>
      <c r="W25" s="108">
        <f>'Sch Admin'!D34</f>
        <v>28.254508550682957</v>
      </c>
      <c r="X25" s="106">
        <v>32</v>
      </c>
      <c r="Y25" s="117">
        <f t="shared" si="5"/>
        <v>-3.7454914493170435</v>
      </c>
    </row>
    <row r="26" spans="1:25" x14ac:dyDescent="0.25">
      <c r="A26" s="123" t="s">
        <v>24</v>
      </c>
      <c r="B26" s="111">
        <v>710.4</v>
      </c>
      <c r="C26" s="78">
        <f>SUM('K '!L35,'1-3 '!J35,'4-6'!J35,'7-8 '!J35,'9-12 '!J35,'Special Ed (Simplified)'!I35)</f>
        <v>50.999651942508052</v>
      </c>
      <c r="D26" s="54">
        <v>40.11</v>
      </c>
      <c r="E26" s="110">
        <f t="shared" si="0"/>
        <v>10.889651942508053</v>
      </c>
      <c r="F26" s="417"/>
      <c r="G26" s="108">
        <f>'Special Ed (Simplified)'!H35</f>
        <v>1.05</v>
      </c>
      <c r="H26" s="106">
        <v>0</v>
      </c>
      <c r="I26" s="117">
        <f t="shared" si="1"/>
        <v>1.05</v>
      </c>
      <c r="K26" s="108">
        <f>'Inst. Support '!D34</f>
        <v>2.0297142857142858</v>
      </c>
      <c r="L26" s="106">
        <v>2</v>
      </c>
      <c r="M26" s="117">
        <f t="shared" si="2"/>
        <v>2.9714285714285804E-2</v>
      </c>
      <c r="O26" s="108">
        <f>'Inst. Support '!G34</f>
        <v>1.0370802919708029</v>
      </c>
      <c r="P26" s="106">
        <v>2</v>
      </c>
      <c r="Q26" s="117">
        <f t="shared" si="3"/>
        <v>-0.96291970802919713</v>
      </c>
      <c r="S26" s="108">
        <f>'Inst. Support '!K34</f>
        <v>0.31433628318584067</v>
      </c>
      <c r="T26" s="106">
        <v>0</v>
      </c>
      <c r="U26" s="117">
        <f t="shared" si="4"/>
        <v>0.31433628318584067</v>
      </c>
      <c r="W26" s="108">
        <f>'Sch Admin'!D35</f>
        <v>3.3999767961672034</v>
      </c>
      <c r="X26" s="106">
        <v>2</v>
      </c>
      <c r="Y26" s="117">
        <f t="shared" si="5"/>
        <v>1.3999767961672034</v>
      </c>
    </row>
    <row r="27" spans="1:25" x14ac:dyDescent="0.25">
      <c r="A27" s="123" t="s">
        <v>25</v>
      </c>
      <c r="B27" s="111">
        <v>2753.54</v>
      </c>
      <c r="C27" s="78">
        <f>SUM('K '!L36,'1-3 '!J36,'4-6'!J36,'7-8 '!J36,'9-12 '!J36,'Special Ed (Simplified)'!I36)</f>
        <v>191.52168271607982</v>
      </c>
      <c r="D27" s="54">
        <v>149.63999999999996</v>
      </c>
      <c r="E27" s="110">
        <f t="shared" si="0"/>
        <v>41.881682716079865</v>
      </c>
      <c r="F27" s="417"/>
      <c r="G27" s="108">
        <f>'Special Ed (Simplified)'!H36</f>
        <v>4.166666666666667</v>
      </c>
      <c r="H27" s="106">
        <v>1</v>
      </c>
      <c r="I27" s="117">
        <f t="shared" si="1"/>
        <v>3.166666666666667</v>
      </c>
      <c r="K27" s="108">
        <f>'Inst. Support '!D35</f>
        <v>7.8672571428571425</v>
      </c>
      <c r="L27" s="106">
        <v>9.25</v>
      </c>
      <c r="M27" s="117">
        <f t="shared" si="2"/>
        <v>-1.3827428571428575</v>
      </c>
      <c r="O27" s="108">
        <f>'Inst. Support '!G35</f>
        <v>4.0197664233576642</v>
      </c>
      <c r="P27" s="106">
        <v>4.9000000000000004</v>
      </c>
      <c r="Q27" s="117">
        <f t="shared" si="3"/>
        <v>-0.88023357664233615</v>
      </c>
      <c r="S27" s="108">
        <f>'Inst. Support '!K35</f>
        <v>1.2183805309734512</v>
      </c>
      <c r="T27" s="106">
        <v>2</v>
      </c>
      <c r="U27" s="117">
        <f t="shared" si="4"/>
        <v>-0.78161946902654877</v>
      </c>
      <c r="W27" s="108">
        <f>'Sch Admin'!D36</f>
        <v>12.768112181071988</v>
      </c>
      <c r="X27" s="106">
        <v>13</v>
      </c>
      <c r="Y27" s="117">
        <f t="shared" si="5"/>
        <v>-0.23188781892801202</v>
      </c>
    </row>
    <row r="28" spans="1:25" x14ac:dyDescent="0.25">
      <c r="A28" s="123" t="s">
        <v>26</v>
      </c>
      <c r="B28" s="111">
        <v>1253.3399999999999</v>
      </c>
      <c r="C28" s="78">
        <f>SUM('K '!L37,'1-3 '!J37,'4-6'!J37,'7-8 '!J37,'9-12 '!J37,'Special Ed (Simplified)'!I37)</f>
        <v>79.075226998598168</v>
      </c>
      <c r="D28" s="54">
        <v>71.959999999999994</v>
      </c>
      <c r="E28" s="110">
        <f t="shared" si="0"/>
        <v>7.1152269985981746</v>
      </c>
      <c r="F28" s="417"/>
      <c r="G28" s="108">
        <f>'Special Ed (Simplified)'!H37</f>
        <v>1.2666666666666666</v>
      </c>
      <c r="H28" s="106">
        <v>1.4</v>
      </c>
      <c r="I28" s="117">
        <f t="shared" si="1"/>
        <v>-0.1333333333333333</v>
      </c>
      <c r="K28" s="108">
        <f>'Inst. Support '!D36</f>
        <v>3.5809714285714285</v>
      </c>
      <c r="L28" s="106">
        <v>3</v>
      </c>
      <c r="M28" s="117">
        <f t="shared" si="2"/>
        <v>0.58097142857142847</v>
      </c>
      <c r="O28" s="108">
        <f>'Inst. Support '!G36</f>
        <v>1.8296934306569341</v>
      </c>
      <c r="P28" s="106">
        <v>2</v>
      </c>
      <c r="Q28" s="117">
        <f t="shared" si="3"/>
        <v>-0.17030656934306587</v>
      </c>
      <c r="S28" s="108">
        <f>'Inst. Support '!K36</f>
        <v>0.55457522123893799</v>
      </c>
      <c r="T28" s="106">
        <v>3</v>
      </c>
      <c r="U28" s="117">
        <f t="shared" si="4"/>
        <v>-2.4454247787610619</v>
      </c>
      <c r="W28" s="108">
        <f>'Sch Admin'!D37</f>
        <v>5.2716817999065446</v>
      </c>
      <c r="X28" s="106">
        <v>4</v>
      </c>
      <c r="Y28" s="117">
        <f t="shared" si="5"/>
        <v>1.2716817999065446</v>
      </c>
    </row>
    <row r="29" spans="1:25" x14ac:dyDescent="0.25">
      <c r="A29" s="123" t="s">
        <v>27</v>
      </c>
      <c r="B29" s="111">
        <v>5263.6</v>
      </c>
      <c r="C29" s="78">
        <f>SUM('K '!L38,'1-3 '!J38,'4-6'!J38,'7-8 '!J38,'9-12 '!J38,'Special Ed (Simplified)'!I38)</f>
        <v>356.3103139110159</v>
      </c>
      <c r="D29" s="54">
        <v>290.37999999999994</v>
      </c>
      <c r="E29" s="110">
        <f t="shared" si="0"/>
        <v>65.930313911015958</v>
      </c>
      <c r="F29" s="417"/>
      <c r="G29" s="108">
        <f>'Special Ed (Simplified)'!H38</f>
        <v>7.1</v>
      </c>
      <c r="H29" s="106">
        <v>9.51</v>
      </c>
      <c r="I29" s="117">
        <f t="shared" si="1"/>
        <v>-2.41</v>
      </c>
      <c r="K29" s="108">
        <f>'Inst. Support '!D37</f>
        <v>15.038857142857143</v>
      </c>
      <c r="L29" s="106">
        <v>14</v>
      </c>
      <c r="M29" s="117">
        <f t="shared" si="2"/>
        <v>1.0388571428571431</v>
      </c>
      <c r="O29" s="108">
        <f>'Inst. Support '!G37</f>
        <v>7.6840875912408766</v>
      </c>
      <c r="P29" s="106">
        <v>6.99</v>
      </c>
      <c r="Q29" s="117">
        <f t="shared" si="3"/>
        <v>0.69408759124087638</v>
      </c>
      <c r="S29" s="108">
        <f>'Inst. Support '!K37</f>
        <v>2.3290265486725668</v>
      </c>
      <c r="T29" s="106">
        <v>4</v>
      </c>
      <c r="U29" s="117">
        <f t="shared" si="4"/>
        <v>-1.6709734513274332</v>
      </c>
      <c r="W29" s="108">
        <f>'Sch Admin'!D38</f>
        <v>23.754020927401061</v>
      </c>
      <c r="X29" s="106">
        <v>21</v>
      </c>
      <c r="Y29" s="117">
        <f t="shared" si="5"/>
        <v>2.7540209274010614</v>
      </c>
    </row>
    <row r="30" spans="1:25" x14ac:dyDescent="0.25">
      <c r="A30" s="123" t="s">
        <v>28</v>
      </c>
      <c r="B30" s="111">
        <v>9606.7099999999991</v>
      </c>
      <c r="C30" s="78">
        <f>SUM('K '!L39,'1-3 '!J39,'4-6'!J39,'7-8 '!J39,'9-12 '!J39,'Special Ed (Simplified)'!I39)</f>
        <v>628.57094535922454</v>
      </c>
      <c r="D30" s="54">
        <v>571.24000000000012</v>
      </c>
      <c r="E30" s="110">
        <f t="shared" si="0"/>
        <v>57.330945359224415</v>
      </c>
      <c r="F30" s="417"/>
      <c r="G30" s="108">
        <f>'Special Ed (Simplified)'!H39</f>
        <v>11.066666666666666</v>
      </c>
      <c r="H30" s="106">
        <v>4.66</v>
      </c>
      <c r="I30" s="117">
        <f t="shared" si="1"/>
        <v>6.4066666666666663</v>
      </c>
      <c r="K30" s="108">
        <f>'Inst. Support '!D38</f>
        <v>27.447742857142856</v>
      </c>
      <c r="L30" s="106">
        <v>33.590000000000003</v>
      </c>
      <c r="M30" s="117">
        <f t="shared" si="2"/>
        <v>-6.1422571428571473</v>
      </c>
      <c r="O30" s="108">
        <f>'Inst. Support '!G38</f>
        <v>14.02439416058394</v>
      </c>
      <c r="P30" s="106">
        <v>17</v>
      </c>
      <c r="Q30" s="117">
        <f t="shared" si="3"/>
        <v>-2.97560583941606</v>
      </c>
      <c r="S30" s="108">
        <f>'Inst. Support '!K38</f>
        <v>4.2507566371681413</v>
      </c>
      <c r="T30" s="106">
        <v>7</v>
      </c>
      <c r="U30" s="117">
        <f t="shared" si="4"/>
        <v>-2.7492433628318587</v>
      </c>
      <c r="W30" s="108">
        <f>'Sch Admin'!D39</f>
        <v>41.904729690614971</v>
      </c>
      <c r="X30" s="106">
        <v>43</v>
      </c>
      <c r="Y30" s="117">
        <f t="shared" si="5"/>
        <v>-1.0952703093850289</v>
      </c>
    </row>
    <row r="31" spans="1:25" x14ac:dyDescent="0.25">
      <c r="A31" s="123" t="s">
        <v>29</v>
      </c>
      <c r="B31" s="111">
        <v>1528.03</v>
      </c>
      <c r="C31" s="78">
        <f>SUM('K '!L40,'1-3 '!J40,'4-6'!J40,'7-8 '!J40,'9-12 '!J40,'Special Ed (Simplified)'!I40)</f>
        <v>96.869535627030857</v>
      </c>
      <c r="D31" s="54">
        <v>73.88</v>
      </c>
      <c r="E31" s="110">
        <f t="shared" si="0"/>
        <v>22.989535627030861</v>
      </c>
      <c r="F31" s="417"/>
      <c r="G31" s="108">
        <f>'Special Ed (Simplified)'!H40</f>
        <v>1.2833333333333334</v>
      </c>
      <c r="H31" s="106">
        <v>1</v>
      </c>
      <c r="I31" s="117">
        <f t="shared" si="1"/>
        <v>0.28333333333333344</v>
      </c>
      <c r="K31" s="108">
        <f>'Inst. Support '!D39</f>
        <v>4.3658000000000001</v>
      </c>
      <c r="L31" s="106">
        <v>3</v>
      </c>
      <c r="M31" s="117">
        <f t="shared" si="2"/>
        <v>1.3658000000000001</v>
      </c>
      <c r="O31" s="108">
        <f>'Inst. Support '!G39</f>
        <v>2.2307007299270074</v>
      </c>
      <c r="P31" s="106">
        <v>3</v>
      </c>
      <c r="Q31" s="117">
        <f t="shared" si="3"/>
        <v>-0.76929927007299259</v>
      </c>
      <c r="S31" s="108">
        <f>'Inst. Support '!K39</f>
        <v>0.67611946902654863</v>
      </c>
      <c r="T31" s="106">
        <v>2</v>
      </c>
      <c r="U31" s="117">
        <f t="shared" si="4"/>
        <v>-1.3238805309734514</v>
      </c>
      <c r="W31" s="108">
        <f>'Sch Admin'!D40</f>
        <v>6.4579690418020572</v>
      </c>
      <c r="X31" s="106">
        <v>6</v>
      </c>
      <c r="Y31" s="117">
        <f t="shared" si="5"/>
        <v>0.45796904180205722</v>
      </c>
    </row>
    <row r="32" spans="1:25" x14ac:dyDescent="0.25">
      <c r="A32" s="123" t="s">
        <v>30</v>
      </c>
      <c r="B32" s="111">
        <v>3982.19</v>
      </c>
      <c r="C32" s="78">
        <f>SUM('K '!L41,'1-3 '!J41,'4-6'!J41,'7-8 '!J41,'9-12 '!J41,'Special Ed (Simplified)'!I41)</f>
        <v>254.62900691202441</v>
      </c>
      <c r="D32" s="54">
        <v>183.95999999999992</v>
      </c>
      <c r="E32" s="110">
        <f t="shared" si="0"/>
        <v>70.669006912024486</v>
      </c>
      <c r="F32" s="417"/>
      <c r="G32" s="108">
        <f>'Special Ed (Simplified)'!H41</f>
        <v>2.375</v>
      </c>
      <c r="H32" s="106">
        <v>0</v>
      </c>
      <c r="I32" s="117">
        <f t="shared" si="1"/>
        <v>2.375</v>
      </c>
      <c r="K32" s="108">
        <f>'Inst. Support '!D40</f>
        <v>11.377685714285715</v>
      </c>
      <c r="L32" s="106">
        <v>10</v>
      </c>
      <c r="M32" s="117">
        <f t="shared" si="2"/>
        <v>1.3776857142857146</v>
      </c>
      <c r="O32" s="108">
        <f>'Inst. Support '!G40</f>
        <v>5.8134160583941608</v>
      </c>
      <c r="P32" s="106">
        <v>8</v>
      </c>
      <c r="Q32" s="117">
        <f t="shared" si="3"/>
        <v>-2.1865839416058392</v>
      </c>
      <c r="S32" s="108">
        <f>'Inst. Support '!K40</f>
        <v>1.7620309734513275</v>
      </c>
      <c r="T32" s="106">
        <v>3</v>
      </c>
      <c r="U32" s="117">
        <f t="shared" si="4"/>
        <v>-1.2379690265486725</v>
      </c>
      <c r="W32" s="108">
        <f>'Sch Admin'!D41</f>
        <v>16.975267127468292</v>
      </c>
      <c r="X32" s="106">
        <v>14</v>
      </c>
      <c r="Y32" s="117">
        <f t="shared" si="5"/>
        <v>2.9752671274682925</v>
      </c>
    </row>
    <row r="33" spans="1:25" x14ac:dyDescent="0.25">
      <c r="A33" s="123" t="s">
        <v>31</v>
      </c>
      <c r="B33" s="111">
        <v>25440.37</v>
      </c>
      <c r="C33" s="78">
        <f>SUM('K '!L42,'1-3 '!J42,'4-6'!J42,'7-8 '!J42,'9-12 '!J42,'Special Ed (Simplified)'!I42)</f>
        <v>1527.730696952847</v>
      </c>
      <c r="D33" s="54">
        <v>1464.53</v>
      </c>
      <c r="E33" s="110">
        <f t="shared" si="0"/>
        <v>63.200696952847011</v>
      </c>
      <c r="F33" s="417"/>
      <c r="G33" s="108">
        <f>'Special Ed (Simplified)'!H42</f>
        <v>23.283333333333335</v>
      </c>
      <c r="H33" s="106">
        <v>8.8699999999999992</v>
      </c>
      <c r="I33" s="117">
        <f t="shared" si="1"/>
        <v>14.413333333333336</v>
      </c>
      <c r="K33" s="108">
        <f>'Inst. Support '!D41</f>
        <v>72.686771428571419</v>
      </c>
      <c r="L33" s="106">
        <v>68.510000000000005</v>
      </c>
      <c r="M33" s="117">
        <f t="shared" si="2"/>
        <v>4.1767714285714135</v>
      </c>
      <c r="O33" s="108">
        <f>'Inst. Support '!G41</f>
        <v>37.139226277372259</v>
      </c>
      <c r="P33" s="106">
        <v>25.79</v>
      </c>
      <c r="Q33" s="117">
        <f t="shared" si="3"/>
        <v>11.34922627737226</v>
      </c>
      <c r="S33" s="108">
        <f>'Inst. Support '!K41</f>
        <v>11.256800884955751</v>
      </c>
      <c r="T33" s="106">
        <v>12</v>
      </c>
      <c r="U33" s="117">
        <f t="shared" si="4"/>
        <v>-0.74319911504424852</v>
      </c>
      <c r="W33" s="108">
        <f>'Sch Admin'!D42</f>
        <v>101.84871313018979</v>
      </c>
      <c r="X33" s="106">
        <v>81</v>
      </c>
      <c r="Y33" s="117">
        <f t="shared" si="5"/>
        <v>20.848713130189793</v>
      </c>
    </row>
    <row r="34" spans="1:25" x14ac:dyDescent="0.25">
      <c r="A34" s="123" t="s">
        <v>32</v>
      </c>
      <c r="B34" s="111">
        <v>2145.29</v>
      </c>
      <c r="C34" s="78">
        <f>SUM('K '!L43,'1-3 '!J43,'4-6'!J43,'7-8 '!J43,'9-12 '!J43,'Special Ed (Simplified)'!I43)</f>
        <v>146.11211686524993</v>
      </c>
      <c r="D34" s="54">
        <v>155.94999999999999</v>
      </c>
      <c r="E34" s="110">
        <f t="shared" si="0"/>
        <v>-9.8378831347500579</v>
      </c>
      <c r="F34" s="417"/>
      <c r="G34" s="108">
        <f>'Special Ed (Simplified)'!H43</f>
        <v>3.1083333333333334</v>
      </c>
      <c r="H34" s="106">
        <v>2.4900000000000002</v>
      </c>
      <c r="I34" s="117">
        <f t="shared" si="1"/>
        <v>0.61833333333333318</v>
      </c>
      <c r="K34" s="108">
        <f>'Inst. Support '!D42</f>
        <v>6.1293999999999995</v>
      </c>
      <c r="L34" s="106">
        <v>6</v>
      </c>
      <c r="M34" s="117">
        <f t="shared" si="2"/>
        <v>0.12939999999999952</v>
      </c>
      <c r="O34" s="108">
        <f>'Inst. Support '!G42</f>
        <v>3.1318102189781021</v>
      </c>
      <c r="P34" s="106">
        <v>3.99</v>
      </c>
      <c r="Q34" s="117">
        <f t="shared" si="3"/>
        <v>-0.85818978102189813</v>
      </c>
      <c r="S34" s="108">
        <f>'Inst. Support '!K42</f>
        <v>0.94924336283185839</v>
      </c>
      <c r="T34" s="106">
        <v>1</v>
      </c>
      <c r="U34" s="117">
        <f t="shared" si="4"/>
        <v>-5.0756637168141605E-2</v>
      </c>
      <c r="W34" s="108">
        <f>'Sch Admin'!D43</f>
        <v>9.7408077910166622</v>
      </c>
      <c r="X34" s="106">
        <v>11</v>
      </c>
      <c r="Y34" s="117">
        <f t="shared" si="5"/>
        <v>-1.2591922089833378</v>
      </c>
    </row>
    <row r="35" spans="1:25" x14ac:dyDescent="0.25">
      <c r="A35" s="123" t="s">
        <v>33</v>
      </c>
      <c r="B35" s="111">
        <v>3224.83</v>
      </c>
      <c r="C35" s="78">
        <f>SUM('K '!L44,'1-3 '!J44,'4-6'!J44,'7-8 '!J44,'9-12 '!J44,'Special Ed (Simplified)'!I44)</f>
        <v>201.0773132284817</v>
      </c>
      <c r="D35" s="54">
        <v>228.70999999999998</v>
      </c>
      <c r="E35" s="110">
        <f t="shared" si="0"/>
        <v>-27.63268677151828</v>
      </c>
      <c r="F35" s="417"/>
      <c r="G35" s="108">
        <f>'Special Ed (Simplified)'!H44</f>
        <v>3.15</v>
      </c>
      <c r="H35" s="106">
        <v>1</v>
      </c>
      <c r="I35" s="117">
        <f t="shared" si="1"/>
        <v>2.15</v>
      </c>
      <c r="K35" s="108">
        <f>'Inst. Support '!D43</f>
        <v>9.2137999999999991</v>
      </c>
      <c r="L35" s="106">
        <v>10</v>
      </c>
      <c r="M35" s="117">
        <f t="shared" si="2"/>
        <v>-0.7862000000000009</v>
      </c>
      <c r="O35" s="108">
        <f>'Inst. Support '!G43</f>
        <v>4.7077810218978104</v>
      </c>
      <c r="P35" s="106">
        <v>7</v>
      </c>
      <c r="Q35" s="117">
        <f t="shared" si="3"/>
        <v>-2.2922189781021896</v>
      </c>
      <c r="S35" s="108">
        <f>'Inst. Support '!K43</f>
        <v>1.4269159292035398</v>
      </c>
      <c r="T35" s="106">
        <v>0</v>
      </c>
      <c r="U35" s="117">
        <f t="shared" si="4"/>
        <v>1.4269159292035398</v>
      </c>
      <c r="W35" s="108">
        <f>'Sch Admin'!D44</f>
        <v>13.405154215232113</v>
      </c>
      <c r="X35" s="106">
        <v>15</v>
      </c>
      <c r="Y35" s="117">
        <f t="shared" si="5"/>
        <v>-1.5948457847678874</v>
      </c>
    </row>
    <row r="36" spans="1:25" x14ac:dyDescent="0.25">
      <c r="A36" s="123" t="s">
        <v>34</v>
      </c>
      <c r="B36" s="111">
        <v>2373.3200000000002</v>
      </c>
      <c r="C36" s="78">
        <f>SUM('K '!L45,'1-3 '!J45,'4-6'!J45,'7-8 '!J45,'9-12 '!J45,'Special Ed (Simplified)'!I45)</f>
        <v>161.6371638829703</v>
      </c>
      <c r="D36" s="54">
        <v>219.92000000000002</v>
      </c>
      <c r="E36" s="110">
        <f t="shared" si="0"/>
        <v>-58.282836117029717</v>
      </c>
      <c r="F36" s="417"/>
      <c r="G36" s="108">
        <f>'Special Ed (Simplified)'!H45</f>
        <v>3.0249999999999999</v>
      </c>
      <c r="H36" s="106">
        <v>0</v>
      </c>
      <c r="I36" s="117">
        <f t="shared" si="1"/>
        <v>3.0249999999999999</v>
      </c>
      <c r="K36" s="108">
        <f>'Inst. Support '!D44</f>
        <v>6.7809142857142861</v>
      </c>
      <c r="L36" s="106">
        <v>12.32</v>
      </c>
      <c r="M36" s="117">
        <f t="shared" si="2"/>
        <v>-5.5390857142857142</v>
      </c>
      <c r="O36" s="108">
        <f>'Inst. Support '!G44</f>
        <v>3.4647007299270074</v>
      </c>
      <c r="P36" s="106">
        <v>5</v>
      </c>
      <c r="Q36" s="117">
        <f t="shared" si="3"/>
        <v>-1.5352992700729926</v>
      </c>
      <c r="S36" s="108">
        <f>'Inst. Support '!K44</f>
        <v>1.0501415929203541</v>
      </c>
      <c r="T36" s="106">
        <v>2.06</v>
      </c>
      <c r="U36" s="117">
        <f t="shared" si="4"/>
        <v>-1.0098584070796459</v>
      </c>
      <c r="W36" s="108">
        <f>'Sch Admin'!D45</f>
        <v>10.775810925531353</v>
      </c>
      <c r="X36" s="106">
        <v>18</v>
      </c>
      <c r="Y36" s="117">
        <f t="shared" si="5"/>
        <v>-7.2241890744686472</v>
      </c>
    </row>
    <row r="37" spans="1:25" x14ac:dyDescent="0.25">
      <c r="A37" s="123" t="s">
        <v>35</v>
      </c>
      <c r="B37" s="111">
        <v>15667.43</v>
      </c>
      <c r="C37" s="78">
        <f>SUM('K '!L46,'1-3 '!J46,'4-6'!J46,'7-8 '!J46,'9-12 '!J46,'Special Ed (Simplified)'!I46)</f>
        <v>1012.3163260333185</v>
      </c>
      <c r="D37" s="54">
        <v>1020.4000000000008</v>
      </c>
      <c r="E37" s="110">
        <f t="shared" si="0"/>
        <v>-8.0836739666822268</v>
      </c>
      <c r="F37" s="417"/>
      <c r="G37" s="108">
        <f>'Special Ed (Simplified)'!H46</f>
        <v>19.375</v>
      </c>
      <c r="H37" s="106">
        <v>16</v>
      </c>
      <c r="I37" s="117">
        <f t="shared" si="1"/>
        <v>3.375</v>
      </c>
      <c r="K37" s="108">
        <f>'Inst. Support '!D45</f>
        <v>44.764085714285713</v>
      </c>
      <c r="L37" s="106">
        <v>36.959999999999994</v>
      </c>
      <c r="M37" s="117">
        <f t="shared" si="2"/>
        <v>7.8040857142857192</v>
      </c>
      <c r="O37" s="108">
        <f>'Inst. Support '!G45</f>
        <v>22.872160583941607</v>
      </c>
      <c r="P37" s="106">
        <v>21.599999999999998</v>
      </c>
      <c r="Q37" s="117">
        <f t="shared" si="3"/>
        <v>1.2721605839416092</v>
      </c>
      <c r="S37" s="108">
        <f>'Inst. Support '!K45</f>
        <v>6.9324911504424778</v>
      </c>
      <c r="T37" s="106">
        <v>16.310000000000002</v>
      </c>
      <c r="U37" s="117">
        <f t="shared" si="4"/>
        <v>-9.3775088495575254</v>
      </c>
      <c r="W37" s="108">
        <f>'Sch Admin'!D46</f>
        <v>67.487755068887907</v>
      </c>
      <c r="X37" s="106">
        <v>60</v>
      </c>
      <c r="Y37" s="117">
        <f t="shared" si="5"/>
        <v>7.4877550688879069</v>
      </c>
    </row>
    <row r="38" spans="1:25" x14ac:dyDescent="0.25">
      <c r="A38" s="123" t="s">
        <v>36</v>
      </c>
      <c r="B38" s="111">
        <v>1091.3900000000001</v>
      </c>
      <c r="C38" s="78">
        <f>SUM('K '!L47,'1-3 '!J47,'4-6'!J47,'7-8 '!J47,'9-12 '!J47,'Special Ed (Simplified)'!I47)</f>
        <v>72.559771072292165</v>
      </c>
      <c r="D38" s="54">
        <v>62.53</v>
      </c>
      <c r="E38" s="110">
        <f t="shared" ref="E38:E69" si="6">C38-D38</f>
        <v>10.029771072292164</v>
      </c>
      <c r="F38" s="417"/>
      <c r="G38" s="108">
        <f>'Special Ed (Simplified)'!H47</f>
        <v>1.45</v>
      </c>
      <c r="H38" s="106">
        <v>1</v>
      </c>
      <c r="I38" s="117">
        <f t="shared" si="1"/>
        <v>0.44999999999999996</v>
      </c>
      <c r="K38" s="108">
        <f>'Inst. Support '!D46</f>
        <v>3.1182571428571433</v>
      </c>
      <c r="L38" s="106">
        <v>2</v>
      </c>
      <c r="M38" s="117">
        <f t="shared" si="2"/>
        <v>1.1182571428571433</v>
      </c>
      <c r="O38" s="108">
        <f>'Inst. Support '!G46</f>
        <v>1.593270072992701</v>
      </c>
      <c r="P38" s="106">
        <v>2</v>
      </c>
      <c r="Q38" s="117">
        <f t="shared" si="3"/>
        <v>-0.40672992700729904</v>
      </c>
      <c r="S38" s="108">
        <f>'Inst. Support '!K46</f>
        <v>0.48291592920353987</v>
      </c>
      <c r="T38" s="106">
        <v>2</v>
      </c>
      <c r="U38" s="117">
        <f t="shared" si="4"/>
        <v>-1.5170840707964601</v>
      </c>
      <c r="W38" s="108">
        <f>'Sch Admin'!D47</f>
        <v>4.8373180714861439</v>
      </c>
      <c r="X38" s="106">
        <v>5</v>
      </c>
      <c r="Y38" s="117">
        <f t="shared" si="5"/>
        <v>-0.1626819285138561</v>
      </c>
    </row>
    <row r="39" spans="1:25" x14ac:dyDescent="0.25">
      <c r="A39" s="123" t="s">
        <v>37</v>
      </c>
      <c r="B39" s="111">
        <v>3269.06</v>
      </c>
      <c r="C39" s="78">
        <f>SUM('K '!L48,'1-3 '!J48,'4-6'!J48,'7-8 '!J48,'9-12 '!J48,'Special Ed (Simplified)'!I48)</f>
        <v>229.38585763442126</v>
      </c>
      <c r="D39" s="54">
        <v>177.65000000000003</v>
      </c>
      <c r="E39" s="110">
        <f t="shared" si="6"/>
        <v>51.735857634421222</v>
      </c>
      <c r="F39" s="417"/>
      <c r="G39" s="108">
        <f>'Special Ed (Simplified)'!H48</f>
        <v>5.083333333333333</v>
      </c>
      <c r="H39" s="106">
        <v>1</v>
      </c>
      <c r="I39" s="117">
        <f t="shared" si="1"/>
        <v>4.083333333333333</v>
      </c>
      <c r="K39" s="108">
        <f>'Inst. Support '!D47</f>
        <v>9.3401714285714288</v>
      </c>
      <c r="L39" s="106">
        <v>9</v>
      </c>
      <c r="M39" s="117">
        <f t="shared" si="2"/>
        <v>0.34017142857142879</v>
      </c>
      <c r="O39" s="108">
        <f>'Inst. Support '!G47</f>
        <v>4.7723503649635033</v>
      </c>
      <c r="P39" s="106">
        <v>7.99</v>
      </c>
      <c r="Q39" s="117">
        <f t="shared" si="3"/>
        <v>-3.2176496350364969</v>
      </c>
      <c r="S39" s="108">
        <f>'Inst. Support '!K47</f>
        <v>1.4464867256637168</v>
      </c>
      <c r="T39" s="106">
        <v>2</v>
      </c>
      <c r="U39" s="117">
        <f t="shared" si="4"/>
        <v>-0.55351327433628317</v>
      </c>
      <c r="W39" s="108">
        <f>'Sch Admin'!D48</f>
        <v>15.292390508961416</v>
      </c>
      <c r="X39" s="106">
        <v>21</v>
      </c>
      <c r="Y39" s="117">
        <f t="shared" si="5"/>
        <v>-5.7076094910385837</v>
      </c>
    </row>
    <row r="40" spans="1:25" x14ac:dyDescent="0.25">
      <c r="A40" s="123" t="s">
        <v>38</v>
      </c>
      <c r="B40" s="111">
        <v>656.05</v>
      </c>
      <c r="C40" s="78">
        <f>SUM('K '!L49,'1-3 '!J49,'4-6'!J49,'7-8 '!J49,'9-12 '!J49,'Special Ed (Simplified)'!I49)</f>
        <v>47.00309232669801</v>
      </c>
      <c r="D40" s="54">
        <v>33.090000000000003</v>
      </c>
      <c r="E40" s="110">
        <f t="shared" si="6"/>
        <v>13.913092326698006</v>
      </c>
      <c r="F40" s="417"/>
      <c r="G40" s="108">
        <f>'Special Ed (Simplified)'!H49</f>
        <v>0.93333333333333335</v>
      </c>
      <c r="H40" s="106">
        <v>0</v>
      </c>
      <c r="I40" s="117">
        <f t="shared" si="1"/>
        <v>0.93333333333333335</v>
      </c>
      <c r="K40" s="108">
        <f>'Inst. Support '!D48</f>
        <v>1.8744285714285713</v>
      </c>
      <c r="L40" s="106">
        <v>3</v>
      </c>
      <c r="M40" s="117">
        <f t="shared" si="2"/>
        <v>-1.1255714285714287</v>
      </c>
      <c r="O40" s="108">
        <f>'Inst. Support '!G48</f>
        <v>0.95773722627737223</v>
      </c>
      <c r="P40" s="106">
        <v>1</v>
      </c>
      <c r="Q40" s="117">
        <f t="shared" si="3"/>
        <v>-4.2262773722627767E-2</v>
      </c>
      <c r="S40" s="108">
        <f>'Inst. Support '!K48</f>
        <v>0.29028761061946901</v>
      </c>
      <c r="T40" s="106">
        <v>0</v>
      </c>
      <c r="U40" s="117">
        <f t="shared" si="4"/>
        <v>0.29028761061946901</v>
      </c>
      <c r="W40" s="108">
        <f>'Sch Admin'!D49</f>
        <v>3.1335394884465342</v>
      </c>
      <c r="X40" s="106">
        <v>1</v>
      </c>
      <c r="Y40" s="117">
        <f t="shared" si="5"/>
        <v>2.1335394884465342</v>
      </c>
    </row>
    <row r="41" spans="1:25" x14ac:dyDescent="0.25">
      <c r="A41" s="123" t="s">
        <v>39</v>
      </c>
      <c r="B41" s="111">
        <v>1181.8699999999999</v>
      </c>
      <c r="C41" s="78">
        <f>SUM('K '!L50,'1-3 '!J50,'4-6'!J50,'7-8 '!J50,'9-12 '!J50,'Special Ed (Simplified)'!I50)</f>
        <v>80.357223320349661</v>
      </c>
      <c r="D41" s="54">
        <v>74.67</v>
      </c>
      <c r="E41" s="110">
        <f t="shared" si="6"/>
        <v>5.6872233203496592</v>
      </c>
      <c r="F41" s="417"/>
      <c r="G41" s="108">
        <f>'Special Ed (Simplified)'!H50</f>
        <v>1.9166666666666667</v>
      </c>
      <c r="H41" s="106">
        <v>0.64</v>
      </c>
      <c r="I41" s="117">
        <f t="shared" si="1"/>
        <v>1.2766666666666668</v>
      </c>
      <c r="K41" s="108">
        <f>'Inst. Support '!D49</f>
        <v>3.3767714285714283</v>
      </c>
      <c r="L41" s="106">
        <v>3</v>
      </c>
      <c r="M41" s="117">
        <f t="shared" si="2"/>
        <v>0.37677142857142831</v>
      </c>
      <c r="O41" s="108">
        <f>'Inst. Support '!G49</f>
        <v>1.7253576642335764</v>
      </c>
      <c r="P41" s="106">
        <v>3</v>
      </c>
      <c r="Q41" s="117">
        <f t="shared" si="3"/>
        <v>-1.2746423357664236</v>
      </c>
      <c r="S41" s="108">
        <f>'Inst. Support '!K49</f>
        <v>0.52295132743362827</v>
      </c>
      <c r="T41" s="106">
        <v>3.68</v>
      </c>
      <c r="U41" s="117">
        <f t="shared" si="4"/>
        <v>-3.157048672566372</v>
      </c>
      <c r="W41" s="108">
        <f>'Sch Admin'!D50</f>
        <v>5.3571482213566437</v>
      </c>
      <c r="X41" s="106">
        <v>6</v>
      </c>
      <c r="Y41" s="117">
        <f t="shared" si="5"/>
        <v>-0.6428517786433563</v>
      </c>
    </row>
    <row r="42" spans="1:25" x14ac:dyDescent="0.25">
      <c r="A42" s="123" t="s">
        <v>40</v>
      </c>
      <c r="B42" s="111">
        <v>8929.7900000000009</v>
      </c>
      <c r="C42" s="78">
        <f>SUM('K '!L51,'1-3 '!J51,'4-6'!J51,'7-8 '!J51,'9-12 '!J51,'Special Ed (Simplified)'!I51)</f>
        <v>578.11903723727858</v>
      </c>
      <c r="D42" s="54">
        <v>551.5200000000001</v>
      </c>
      <c r="E42" s="110">
        <f t="shared" si="6"/>
        <v>26.59903723727848</v>
      </c>
      <c r="F42" s="417"/>
      <c r="G42" s="108">
        <f>'Special Ed (Simplified)'!H51</f>
        <v>10.966666666666667</v>
      </c>
      <c r="H42" s="106">
        <v>6.27</v>
      </c>
      <c r="I42" s="117">
        <f t="shared" si="1"/>
        <v>4.6966666666666672</v>
      </c>
      <c r="K42" s="108">
        <f>'Inst. Support '!D50</f>
        <v>25.513685714285717</v>
      </c>
      <c r="L42" s="106">
        <v>23.939999999999998</v>
      </c>
      <c r="M42" s="117">
        <f t="shared" si="2"/>
        <v>1.5736857142857197</v>
      </c>
      <c r="O42" s="108">
        <f>'Inst. Support '!G50</f>
        <v>13.0361897810219</v>
      </c>
      <c r="P42" s="106">
        <v>15.67</v>
      </c>
      <c r="Q42" s="117">
        <f t="shared" si="3"/>
        <v>-2.6338102189781001</v>
      </c>
      <c r="S42" s="108">
        <f>'Inst. Support '!K50</f>
        <v>3.9512345132743367</v>
      </c>
      <c r="T42" s="106">
        <v>0.3</v>
      </c>
      <c r="U42" s="117">
        <f t="shared" si="4"/>
        <v>3.6512345132743369</v>
      </c>
      <c r="W42" s="108">
        <f>'Sch Admin'!D51</f>
        <v>38.541269149151908</v>
      </c>
      <c r="X42" s="106">
        <v>37</v>
      </c>
      <c r="Y42" s="117">
        <f t="shared" si="5"/>
        <v>1.5412691491519084</v>
      </c>
    </row>
    <row r="43" spans="1:25" x14ac:dyDescent="0.25">
      <c r="A43" s="123" t="s">
        <v>41</v>
      </c>
      <c r="B43" s="111">
        <v>74161.66</v>
      </c>
      <c r="C43" s="78">
        <f>SUM('K '!L52,'1-3 '!J52,'4-6'!J52,'7-8 '!J52,'9-12 '!J52,'Special Ed (Simplified)'!I52)</f>
        <v>4623.1873666764677</v>
      </c>
      <c r="D43" s="54">
        <v>4451.6299999999865</v>
      </c>
      <c r="E43" s="110">
        <f t="shared" si="6"/>
        <v>171.55736667648125</v>
      </c>
      <c r="F43" s="417"/>
      <c r="G43" s="108">
        <f>'Special Ed (Simplified)'!H52</f>
        <v>88.516666666666666</v>
      </c>
      <c r="H43" s="106">
        <v>25.69</v>
      </c>
      <c r="I43" s="117">
        <f t="shared" si="1"/>
        <v>62.826666666666668</v>
      </c>
      <c r="K43" s="108">
        <f>'Inst. Support '!D51</f>
        <v>211.89045714285714</v>
      </c>
      <c r="L43" s="106">
        <v>218.64</v>
      </c>
      <c r="M43" s="117">
        <f t="shared" si="2"/>
        <v>-6.749542857142842</v>
      </c>
      <c r="O43" s="108">
        <f>'Inst. Support '!G51</f>
        <v>108.26519708029197</v>
      </c>
      <c r="P43" s="106">
        <v>92.269999999999982</v>
      </c>
      <c r="Q43" s="117">
        <f t="shared" si="3"/>
        <v>15.995197080291987</v>
      </c>
      <c r="S43" s="108">
        <f>'Inst. Support '!K51</f>
        <v>32.814893805309737</v>
      </c>
      <c r="T43" s="106">
        <v>2</v>
      </c>
      <c r="U43" s="117">
        <f t="shared" si="4"/>
        <v>30.814893805309737</v>
      </c>
      <c r="W43" s="108">
        <f>'Sch Admin'!D52</f>
        <v>308.21249111176451</v>
      </c>
      <c r="X43" s="106">
        <v>282</v>
      </c>
      <c r="Y43" s="117">
        <f t="shared" si="5"/>
        <v>26.212491111764507</v>
      </c>
    </row>
    <row r="44" spans="1:25" x14ac:dyDescent="0.25">
      <c r="A44" s="123" t="s">
        <v>42</v>
      </c>
      <c r="B44" s="111">
        <v>8515.0300000000007</v>
      </c>
      <c r="C44" s="78">
        <f>SUM('K '!L53,'1-3 '!J53,'4-6'!J53,'7-8 '!J53,'9-12 '!J53,'Special Ed (Simplified)'!I53)</f>
        <v>538.57928580357475</v>
      </c>
      <c r="D44" s="54">
        <v>471.99000000000012</v>
      </c>
      <c r="E44" s="110">
        <f t="shared" si="6"/>
        <v>66.589285803574626</v>
      </c>
      <c r="F44" s="417"/>
      <c r="G44" s="108">
        <f>'Special Ed (Simplified)'!H53</f>
        <v>7.8416666666666668</v>
      </c>
      <c r="H44" s="106">
        <v>10.17</v>
      </c>
      <c r="I44" s="117">
        <f t="shared" si="1"/>
        <v>-2.3283333333333331</v>
      </c>
      <c r="K44" s="108">
        <f>'Inst. Support '!D52</f>
        <v>24.328657142857146</v>
      </c>
      <c r="L44" s="106">
        <v>16.48</v>
      </c>
      <c r="M44" s="117">
        <f t="shared" si="2"/>
        <v>7.8486571428571459</v>
      </c>
      <c r="O44" s="108">
        <f>'Inst. Support '!G52</f>
        <v>12.430700729927008</v>
      </c>
      <c r="P44" s="106">
        <v>12.379999999999999</v>
      </c>
      <c r="Q44" s="117">
        <f t="shared" si="3"/>
        <v>5.0700729927008581E-2</v>
      </c>
      <c r="S44" s="108">
        <f>'Inst. Support '!K52</f>
        <v>3.7677123893805313</v>
      </c>
      <c r="T44" s="106">
        <v>7</v>
      </c>
      <c r="U44" s="117">
        <f t="shared" si="4"/>
        <v>-3.2322876106194687</v>
      </c>
      <c r="W44" s="108">
        <f>'Sch Admin'!D53</f>
        <v>35.905285720238318</v>
      </c>
      <c r="X44" s="106">
        <v>38</v>
      </c>
      <c r="Y44" s="117">
        <f t="shared" si="5"/>
        <v>-2.094714279761682</v>
      </c>
    </row>
    <row r="45" spans="1:25" x14ac:dyDescent="0.25">
      <c r="A45" s="123" t="s">
        <v>43</v>
      </c>
      <c r="B45" s="111">
        <v>898.58</v>
      </c>
      <c r="C45" s="78">
        <f>SUM('K '!L54,'1-3 '!J54,'4-6'!J54,'7-8 '!J54,'9-12 '!J54,'Special Ed (Simplified)'!I54)</f>
        <v>59.831890812739687</v>
      </c>
      <c r="D45" s="54">
        <v>56.099999999999994</v>
      </c>
      <c r="E45" s="110">
        <f t="shared" si="6"/>
        <v>3.7318908127396924</v>
      </c>
      <c r="F45" s="417"/>
      <c r="G45" s="108">
        <f>'Special Ed (Simplified)'!H54</f>
        <v>1.1083333333333334</v>
      </c>
      <c r="H45" s="106">
        <v>0.5</v>
      </c>
      <c r="I45" s="117">
        <f t="shared" si="1"/>
        <v>0.60833333333333339</v>
      </c>
      <c r="K45" s="108">
        <f>'Inst. Support '!D53</f>
        <v>2.5673714285714286</v>
      </c>
      <c r="L45" s="106">
        <v>3</v>
      </c>
      <c r="M45" s="117">
        <f t="shared" si="2"/>
        <v>-0.43262857142857136</v>
      </c>
      <c r="O45" s="108">
        <f>'Inst. Support '!G53</f>
        <v>1.3117956204379562</v>
      </c>
      <c r="P45" s="106">
        <v>3</v>
      </c>
      <c r="Q45" s="117">
        <f t="shared" si="3"/>
        <v>-1.6882043795620438</v>
      </c>
      <c r="S45" s="108">
        <f>'Inst. Support '!K53</f>
        <v>0.39760176991150442</v>
      </c>
      <c r="T45" s="106">
        <v>1</v>
      </c>
      <c r="U45" s="117">
        <f t="shared" si="4"/>
        <v>-0.60239823008849558</v>
      </c>
      <c r="W45" s="108">
        <f>'Sch Admin'!D54</f>
        <v>3.9887927208493124</v>
      </c>
      <c r="X45" s="106">
        <v>3</v>
      </c>
      <c r="Y45" s="117">
        <f t="shared" si="5"/>
        <v>0.98879272084931236</v>
      </c>
    </row>
    <row r="46" spans="1:25" x14ac:dyDescent="0.25">
      <c r="A46" s="123" t="s">
        <v>44</v>
      </c>
      <c r="B46" s="111">
        <v>1516.32</v>
      </c>
      <c r="C46" s="78">
        <f>SUM('K '!L55,'1-3 '!J55,'4-6'!J55,'7-8 '!J55,'9-12 '!J55,'Special Ed (Simplified)'!I55)</f>
        <v>94.092821757973198</v>
      </c>
      <c r="D46" s="54">
        <v>88.579999999999984</v>
      </c>
      <c r="E46" s="110">
        <f t="shared" si="6"/>
        <v>5.5128217579732137</v>
      </c>
      <c r="F46" s="417"/>
      <c r="G46" s="108">
        <f>'Special Ed (Simplified)'!H55</f>
        <v>1.3166666666666667</v>
      </c>
      <c r="H46" s="106">
        <v>0</v>
      </c>
      <c r="I46" s="117">
        <f t="shared" si="1"/>
        <v>1.3166666666666667</v>
      </c>
      <c r="K46" s="108">
        <f>'Inst. Support '!D54</f>
        <v>4.3323428571428568</v>
      </c>
      <c r="L46" s="106">
        <v>5</v>
      </c>
      <c r="M46" s="117">
        <f t="shared" si="2"/>
        <v>-0.66765714285714317</v>
      </c>
      <c r="O46" s="108">
        <f>'Inst. Support '!G54</f>
        <v>2.2136058394160583</v>
      </c>
      <c r="P46" s="106">
        <v>4</v>
      </c>
      <c r="Q46" s="117">
        <f t="shared" si="3"/>
        <v>-1.7863941605839417</v>
      </c>
      <c r="S46" s="108">
        <f>'Inst. Support '!K54</f>
        <v>0.67093805309734511</v>
      </c>
      <c r="T46" s="106">
        <v>1</v>
      </c>
      <c r="U46" s="117">
        <f t="shared" si="4"/>
        <v>-0.32906194690265489</v>
      </c>
      <c r="W46" s="108">
        <f>'Sch Admin'!D55</f>
        <v>6.2728547838648803</v>
      </c>
      <c r="X46" s="106">
        <v>7</v>
      </c>
      <c r="Y46" s="117">
        <f t="shared" si="5"/>
        <v>-0.72714521613511973</v>
      </c>
    </row>
    <row r="47" spans="1:25" x14ac:dyDescent="0.25">
      <c r="A47" s="123" t="s">
        <v>45</v>
      </c>
      <c r="B47" s="111">
        <v>2087.65</v>
      </c>
      <c r="C47" s="78">
        <f>SUM('K '!L56,'1-3 '!J56,'4-6'!J56,'7-8 '!J56,'9-12 '!J56,'Special Ed (Simplified)'!I56)</f>
        <v>132.80214293607324</v>
      </c>
      <c r="D47" s="54">
        <v>130.80000000000001</v>
      </c>
      <c r="E47" s="110">
        <f t="shared" si="6"/>
        <v>2.002142936073227</v>
      </c>
      <c r="F47" s="417"/>
      <c r="G47" s="108">
        <f>'Special Ed (Simplified)'!H56</f>
        <v>1.6333333333333333</v>
      </c>
      <c r="H47" s="106">
        <v>0</v>
      </c>
      <c r="I47" s="117">
        <f t="shared" si="1"/>
        <v>1.6333333333333333</v>
      </c>
      <c r="K47" s="108">
        <f>'Inst. Support '!D55</f>
        <v>5.9647142857142859</v>
      </c>
      <c r="L47" s="106">
        <v>7</v>
      </c>
      <c r="M47" s="117">
        <f t="shared" si="2"/>
        <v>-1.0352857142857141</v>
      </c>
      <c r="O47" s="108">
        <f>'Inst. Support '!G55</f>
        <v>3.0476642335766426</v>
      </c>
      <c r="P47" s="106">
        <v>2.85</v>
      </c>
      <c r="Q47" s="117">
        <f t="shared" si="3"/>
        <v>0.19766423357664253</v>
      </c>
      <c r="S47" s="108">
        <f>'Inst. Support '!K55</f>
        <v>0.92373893805309737</v>
      </c>
      <c r="T47" s="106">
        <v>2.9699999999999998</v>
      </c>
      <c r="U47" s="117">
        <f t="shared" si="4"/>
        <v>-2.0462610619469022</v>
      </c>
      <c r="W47" s="108">
        <f>'Sch Admin'!D56</f>
        <v>8.8534761957382155</v>
      </c>
      <c r="X47" s="106">
        <v>11</v>
      </c>
      <c r="Y47" s="117">
        <f t="shared" si="5"/>
        <v>-2.1465238042617845</v>
      </c>
    </row>
    <row r="48" spans="1:25" x14ac:dyDescent="0.25">
      <c r="A48" s="123" t="s">
        <v>46</v>
      </c>
      <c r="B48" s="111">
        <v>662.1</v>
      </c>
      <c r="C48" s="78">
        <f>SUM('K '!L57,'1-3 '!J57,'4-6'!J57,'7-8 '!J57,'9-12 '!J57,'Special Ed (Simplified)'!I57)</f>
        <v>46.417643808441795</v>
      </c>
      <c r="D48" s="54">
        <v>48.09</v>
      </c>
      <c r="E48" s="110">
        <f t="shared" si="6"/>
        <v>-1.6723561915582081</v>
      </c>
      <c r="F48" s="417"/>
      <c r="G48" s="108">
        <f>'Special Ed (Simplified)'!H57</f>
        <v>0.85833333333333328</v>
      </c>
      <c r="H48" s="106">
        <v>0.45</v>
      </c>
      <c r="I48" s="117">
        <f t="shared" si="1"/>
        <v>0.40833333333333327</v>
      </c>
      <c r="K48" s="108">
        <f>'Inst. Support '!D56</f>
        <v>1.8917142857142857</v>
      </c>
      <c r="L48" s="106">
        <v>2</v>
      </c>
      <c r="M48" s="117">
        <f t="shared" si="2"/>
        <v>-0.10828571428571432</v>
      </c>
      <c r="O48" s="108">
        <f>'Inst. Support '!G56</f>
        <v>0.96656934306569342</v>
      </c>
      <c r="P48" s="106">
        <v>1.17</v>
      </c>
      <c r="Q48" s="117">
        <f t="shared" si="3"/>
        <v>-0.20343065693430651</v>
      </c>
      <c r="S48" s="108">
        <f>'Inst. Support '!K56</f>
        <v>0.29296460176991151</v>
      </c>
      <c r="T48" s="106">
        <v>2</v>
      </c>
      <c r="U48" s="117">
        <f t="shared" si="4"/>
        <v>-1.7070353982300885</v>
      </c>
      <c r="W48" s="108">
        <f>'Sch Admin'!D57</f>
        <v>3.094509587229453</v>
      </c>
      <c r="X48" s="106">
        <v>4</v>
      </c>
      <c r="Y48" s="117">
        <f t="shared" si="5"/>
        <v>-0.90549041277054698</v>
      </c>
    </row>
    <row r="49" spans="1:25" x14ac:dyDescent="0.25">
      <c r="A49" s="123" t="s">
        <v>47</v>
      </c>
      <c r="B49" s="111">
        <v>43529.94</v>
      </c>
      <c r="C49" s="78">
        <f>SUM('K '!L58,'1-3 '!J58,'4-6'!J58,'7-8 '!J58,'9-12 '!J58,'Special Ed (Simplified)'!I58)</f>
        <v>2762.3715365825342</v>
      </c>
      <c r="D49" s="54">
        <v>2698.780000000002</v>
      </c>
      <c r="E49" s="110">
        <f t="shared" si="6"/>
        <v>63.591536582532171</v>
      </c>
      <c r="F49" s="417"/>
      <c r="G49" s="108">
        <f>'Special Ed (Simplified)'!H58</f>
        <v>48.81666666666667</v>
      </c>
      <c r="H49" s="106">
        <v>40.53</v>
      </c>
      <c r="I49" s="117">
        <f t="shared" si="1"/>
        <v>8.2866666666666688</v>
      </c>
      <c r="K49" s="108">
        <f>'Inst. Support '!D57</f>
        <v>124.37125714285715</v>
      </c>
      <c r="L49" s="106">
        <v>121.13999999999999</v>
      </c>
      <c r="M49" s="117">
        <f t="shared" si="2"/>
        <v>3.2312571428571601</v>
      </c>
      <c r="O49" s="108">
        <f>'Inst. Support '!G57</f>
        <v>63.54735766423358</v>
      </c>
      <c r="P49" s="106">
        <v>50.820000000000007</v>
      </c>
      <c r="Q49" s="117">
        <f t="shared" si="3"/>
        <v>12.727357664233573</v>
      </c>
      <c r="S49" s="108">
        <f>'Inst. Support '!K57</f>
        <v>19.261035398230089</v>
      </c>
      <c r="T49" s="106">
        <v>1</v>
      </c>
      <c r="U49" s="117">
        <f t="shared" si="4"/>
        <v>18.261035398230089</v>
      </c>
      <c r="W49" s="108">
        <f>'Sch Admin'!D58</f>
        <v>184.15810243883561</v>
      </c>
      <c r="X49" s="106">
        <v>166</v>
      </c>
      <c r="Y49" s="117">
        <f t="shared" si="5"/>
        <v>18.158102438835613</v>
      </c>
    </row>
    <row r="50" spans="1:25" x14ac:dyDescent="0.25">
      <c r="A50" s="123" t="s">
        <v>48</v>
      </c>
      <c r="B50" s="111">
        <v>2404.8000000000002</v>
      </c>
      <c r="C50" s="78">
        <f>SUM('K '!L59,'1-3 '!J59,'4-6'!J59,'7-8 '!J59,'9-12 '!J59,'Special Ed (Simplified)'!I59)</f>
        <v>157.47193263687396</v>
      </c>
      <c r="D50" s="54">
        <v>148.37</v>
      </c>
      <c r="E50" s="110">
        <f t="shared" si="6"/>
        <v>9.1019326368739542</v>
      </c>
      <c r="F50" s="417"/>
      <c r="G50" s="108">
        <f>'Special Ed (Simplified)'!H59</f>
        <v>1.9916666666666667</v>
      </c>
      <c r="H50" s="106">
        <v>1</v>
      </c>
      <c r="I50" s="117">
        <f t="shared" si="1"/>
        <v>0.9916666666666667</v>
      </c>
      <c r="K50" s="108">
        <f>'Inst. Support '!D58</f>
        <v>6.870857142857143</v>
      </c>
      <c r="L50" s="106">
        <v>9.64</v>
      </c>
      <c r="M50" s="117">
        <f t="shared" si="2"/>
        <v>-2.7691428571428576</v>
      </c>
      <c r="O50" s="108">
        <f>'Inst. Support '!G58</f>
        <v>3.5106569343065694</v>
      </c>
      <c r="P50" s="106">
        <v>3</v>
      </c>
      <c r="Q50" s="117">
        <f t="shared" si="3"/>
        <v>0.51065693430656944</v>
      </c>
      <c r="S50" s="108">
        <f>'Inst. Support '!K58</f>
        <v>1.064070796460177</v>
      </c>
      <c r="T50" s="106">
        <v>1</v>
      </c>
      <c r="U50" s="117">
        <f t="shared" si="4"/>
        <v>6.4070796460176993E-2</v>
      </c>
      <c r="W50" s="108">
        <f>'Sch Admin'!D59</f>
        <v>10.498128842458264</v>
      </c>
      <c r="X50" s="106">
        <v>10</v>
      </c>
      <c r="Y50" s="117">
        <f t="shared" si="5"/>
        <v>0.49812884245826439</v>
      </c>
    </row>
    <row r="51" spans="1:25" x14ac:dyDescent="0.25">
      <c r="A51" s="123" t="s">
        <v>49</v>
      </c>
      <c r="B51" s="111">
        <v>10525.82</v>
      </c>
      <c r="C51" s="78">
        <f>SUM('K '!L60,'1-3 '!J60,'4-6'!J60,'7-8 '!J60,'9-12 '!J60,'Special Ed (Simplified)'!I60)</f>
        <v>658.74124712308719</v>
      </c>
      <c r="D51" s="54">
        <v>629.30000000000007</v>
      </c>
      <c r="E51" s="110">
        <f t="shared" si="6"/>
        <v>29.441247123087123</v>
      </c>
      <c r="F51" s="417"/>
      <c r="G51" s="108">
        <f>'Special Ed (Simplified)'!H60</f>
        <v>11.25</v>
      </c>
      <c r="H51" s="106">
        <v>12.3</v>
      </c>
      <c r="I51" s="117">
        <f t="shared" si="1"/>
        <v>-1.0500000000000007</v>
      </c>
      <c r="K51" s="108">
        <f>'Inst. Support '!D59</f>
        <v>30.073771428571426</v>
      </c>
      <c r="L51" s="106">
        <v>30.320000000000004</v>
      </c>
      <c r="M51" s="117">
        <f t="shared" si="2"/>
        <v>-0.24622857142857768</v>
      </c>
      <c r="O51" s="108">
        <f>'Inst. Support '!G59</f>
        <v>15.366160583941605</v>
      </c>
      <c r="P51" s="106">
        <v>17.82</v>
      </c>
      <c r="Q51" s="117">
        <f t="shared" si="3"/>
        <v>-2.4538394160583952</v>
      </c>
      <c r="S51" s="108">
        <f>'Inst. Support '!K59</f>
        <v>4.6574424778761063</v>
      </c>
      <c r="T51" s="106">
        <v>3</v>
      </c>
      <c r="U51" s="117">
        <f t="shared" si="4"/>
        <v>1.6574424778761063</v>
      </c>
      <c r="W51" s="108">
        <f>'Sch Admin'!D60</f>
        <v>43.916083141539147</v>
      </c>
      <c r="X51" s="106">
        <v>37</v>
      </c>
      <c r="Y51" s="117">
        <f t="shared" si="5"/>
        <v>6.9160831415391471</v>
      </c>
    </row>
    <row r="52" spans="1:25" x14ac:dyDescent="0.25">
      <c r="A52" s="123" t="s">
        <v>50</v>
      </c>
      <c r="B52" s="111">
        <v>13258.42</v>
      </c>
      <c r="C52" s="78">
        <f>SUM('K '!L61,'1-3 '!J61,'4-6'!J61,'7-8 '!J61,'9-12 '!J61,'Special Ed (Simplified)'!I61)</f>
        <v>823.22719537790726</v>
      </c>
      <c r="D52" s="54">
        <v>793.86000000000047</v>
      </c>
      <c r="E52" s="110">
        <f t="shared" si="6"/>
        <v>29.367195377906796</v>
      </c>
      <c r="F52" s="417"/>
      <c r="G52" s="108">
        <f>'Special Ed (Simplified)'!H61</f>
        <v>14.941666666666666</v>
      </c>
      <c r="H52" s="106">
        <v>5.0299999999999994</v>
      </c>
      <c r="I52" s="117">
        <f t="shared" si="1"/>
        <v>9.9116666666666671</v>
      </c>
      <c r="K52" s="108">
        <f>'Inst. Support '!D60</f>
        <v>37.8812</v>
      </c>
      <c r="L52" s="106">
        <v>36.679999999999993</v>
      </c>
      <c r="M52" s="117">
        <f t="shared" si="2"/>
        <v>1.2012000000000072</v>
      </c>
      <c r="O52" s="108">
        <f>'Inst. Support '!G60</f>
        <v>19.355357664233576</v>
      </c>
      <c r="P52" s="106">
        <v>21.099999999999998</v>
      </c>
      <c r="Q52" s="117">
        <f t="shared" si="3"/>
        <v>-1.7446423357664216</v>
      </c>
      <c r="S52" s="108">
        <f>'Inst. Support '!K60</f>
        <v>5.8665575221238937</v>
      </c>
      <c r="T52" s="106">
        <v>0</v>
      </c>
      <c r="U52" s="117">
        <f t="shared" si="4"/>
        <v>5.8665575221238937</v>
      </c>
      <c r="W52" s="108">
        <f>'Sch Admin'!D61</f>
        <v>54.881813025193814</v>
      </c>
      <c r="X52" s="106">
        <v>59</v>
      </c>
      <c r="Y52" s="117">
        <f t="shared" si="5"/>
        <v>-4.1181869748061857</v>
      </c>
    </row>
    <row r="53" spans="1:25" x14ac:dyDescent="0.25">
      <c r="A53" s="123" t="s">
        <v>51</v>
      </c>
      <c r="B53" s="111">
        <v>5388.16</v>
      </c>
      <c r="C53" s="78">
        <f>SUM('K '!L62,'1-3 '!J62,'4-6'!J62,'7-8 '!J62,'9-12 '!J62,'Special Ed (Simplified)'!I62)</f>
        <v>354.41748622057878</v>
      </c>
      <c r="D53" s="54">
        <v>345.95999999999992</v>
      </c>
      <c r="E53" s="110">
        <f t="shared" si="6"/>
        <v>8.4574862205788577</v>
      </c>
      <c r="F53" s="417"/>
      <c r="G53" s="108">
        <f>'Special Ed (Simplified)'!H62</f>
        <v>6.8166666666666664</v>
      </c>
      <c r="H53" s="106">
        <v>0</v>
      </c>
      <c r="I53" s="117">
        <f t="shared" si="1"/>
        <v>6.8166666666666664</v>
      </c>
      <c r="K53" s="108">
        <f>'Inst. Support '!D61</f>
        <v>15.394742857142857</v>
      </c>
      <c r="L53" s="106">
        <v>12.780000000000001</v>
      </c>
      <c r="M53" s="117">
        <f t="shared" si="2"/>
        <v>2.6147428571428559</v>
      </c>
      <c r="O53" s="108">
        <f>'Inst. Support '!G61</f>
        <v>7.8659270072992697</v>
      </c>
      <c r="P53" s="106">
        <v>6.6400000000000006</v>
      </c>
      <c r="Q53" s="117">
        <f t="shared" si="3"/>
        <v>1.2259270072992692</v>
      </c>
      <c r="S53" s="108">
        <f>'Inst. Support '!K61</f>
        <v>2.3841415929203538</v>
      </c>
      <c r="T53" s="106">
        <v>9.86</v>
      </c>
      <c r="U53" s="117">
        <f t="shared" si="4"/>
        <v>-7.4758584070796452</v>
      </c>
      <c r="W53" s="108">
        <f>'Sch Admin'!D62</f>
        <v>23.627832414705253</v>
      </c>
      <c r="X53" s="106">
        <v>20</v>
      </c>
      <c r="Y53" s="117">
        <f t="shared" si="5"/>
        <v>3.627832414705253</v>
      </c>
    </row>
    <row r="54" spans="1:25" x14ac:dyDescent="0.25">
      <c r="A54" s="123" t="s">
        <v>52</v>
      </c>
      <c r="B54" s="111">
        <v>2979.52</v>
      </c>
      <c r="C54" s="78">
        <f>SUM('K '!L63,'1-3 '!J63,'4-6'!J63,'7-8 '!J63,'9-12 '!J63,'Special Ed (Simplified)'!I63)</f>
        <v>204.268289794861</v>
      </c>
      <c r="D54" s="54">
        <v>177.01999999999998</v>
      </c>
      <c r="E54" s="110">
        <f t="shared" si="6"/>
        <v>27.248289794861023</v>
      </c>
      <c r="F54" s="417"/>
      <c r="G54" s="108">
        <f>'Special Ed (Simplified)'!H63</f>
        <v>4.4916666666666663</v>
      </c>
      <c r="H54" s="106">
        <v>2</v>
      </c>
      <c r="I54" s="117">
        <f t="shared" si="1"/>
        <v>2.4916666666666663</v>
      </c>
      <c r="K54" s="108">
        <f>'Inst. Support '!D62</f>
        <v>8.5129142857142863</v>
      </c>
      <c r="L54" s="106">
        <v>5.5</v>
      </c>
      <c r="M54" s="117">
        <f t="shared" si="2"/>
        <v>3.0129142857142863</v>
      </c>
      <c r="O54" s="108">
        <f>'Inst. Support '!G62</f>
        <v>4.3496642335766422</v>
      </c>
      <c r="P54" s="106">
        <v>5</v>
      </c>
      <c r="Q54" s="117">
        <f t="shared" si="3"/>
        <v>-0.65033576642335778</v>
      </c>
      <c r="S54" s="108">
        <f>'Inst. Support '!K62</f>
        <v>1.3183716814159292</v>
      </c>
      <c r="T54" s="106">
        <v>3.21</v>
      </c>
      <c r="U54" s="117">
        <f t="shared" si="4"/>
        <v>-1.8916283185840708</v>
      </c>
      <c r="W54" s="108">
        <f>'Sch Admin'!D63</f>
        <v>13.617885986324067</v>
      </c>
      <c r="X54" s="106">
        <v>12</v>
      </c>
      <c r="Y54" s="117">
        <f t="shared" si="5"/>
        <v>1.6178859863240671</v>
      </c>
    </row>
    <row r="55" spans="1:25" x14ac:dyDescent="0.25">
      <c r="A55" s="123" t="s">
        <v>53</v>
      </c>
      <c r="B55" s="111">
        <v>1729.85</v>
      </c>
      <c r="C55" s="78">
        <f>SUM('K '!L64,'1-3 '!J64,'4-6'!J64,'7-8 '!J64,'9-12 '!J64,'Special Ed (Simplified)'!I64)</f>
        <v>116.09531896309257</v>
      </c>
      <c r="D55" s="54">
        <v>80.579999999999984</v>
      </c>
      <c r="E55" s="110">
        <f t="shared" si="6"/>
        <v>35.515318963092582</v>
      </c>
      <c r="F55" s="417"/>
      <c r="G55" s="108">
        <f>'Special Ed (Simplified)'!H64</f>
        <v>1.7916666666666667</v>
      </c>
      <c r="H55" s="106">
        <v>0</v>
      </c>
      <c r="I55" s="117">
        <f t="shared" si="1"/>
        <v>1.7916666666666667</v>
      </c>
      <c r="K55" s="108">
        <f>'Inst. Support '!D63</f>
        <v>4.9424285714285707</v>
      </c>
      <c r="L55" s="106">
        <v>6.46</v>
      </c>
      <c r="M55" s="117">
        <f t="shared" si="2"/>
        <v>-1.5175714285714292</v>
      </c>
      <c r="O55" s="108">
        <f>'Inst. Support '!G63</f>
        <v>2.5253284671532845</v>
      </c>
      <c r="P55" s="106">
        <v>1</v>
      </c>
      <c r="Q55" s="117">
        <f t="shared" si="3"/>
        <v>1.5253284671532845</v>
      </c>
      <c r="S55" s="108">
        <f>'Inst. Support '!K63</f>
        <v>0.76542035398230079</v>
      </c>
      <c r="T55" s="106">
        <v>2.81</v>
      </c>
      <c r="U55" s="117">
        <f t="shared" si="4"/>
        <v>-2.0445796460176995</v>
      </c>
      <c r="W55" s="108">
        <f>'Sch Admin'!D64</f>
        <v>7.7396879308728375</v>
      </c>
      <c r="X55" s="106">
        <v>8</v>
      </c>
      <c r="Y55" s="117">
        <f t="shared" si="5"/>
        <v>-0.26031206912716254</v>
      </c>
    </row>
    <row r="56" spans="1:25" x14ac:dyDescent="0.25">
      <c r="A56" s="123" t="s">
        <v>54</v>
      </c>
      <c r="B56" s="111">
        <v>25998.85</v>
      </c>
      <c r="C56" s="78">
        <f>SUM('K '!L65,'1-3 '!J65,'4-6'!J65,'7-8 '!J65,'9-12 '!J65,'Special Ed (Simplified)'!I65)</f>
        <v>1555.4353164684669</v>
      </c>
      <c r="D56" s="54">
        <v>1789.3199999999995</v>
      </c>
      <c r="E56" s="110">
        <f t="shared" si="6"/>
        <v>-233.88468353153257</v>
      </c>
      <c r="F56" s="417"/>
      <c r="G56" s="108">
        <f>'Special Ed (Simplified)'!H65</f>
        <v>26.574999999999999</v>
      </c>
      <c r="H56" s="106">
        <v>40.75</v>
      </c>
      <c r="I56" s="117">
        <f t="shared" si="1"/>
        <v>-14.175000000000001</v>
      </c>
      <c r="K56" s="108">
        <f>'Inst. Support '!D64</f>
        <v>74.282428571428568</v>
      </c>
      <c r="L56" s="106">
        <v>81.93</v>
      </c>
      <c r="M56" s="117">
        <f t="shared" si="2"/>
        <v>-7.6475714285714389</v>
      </c>
      <c r="O56" s="108">
        <f>'Inst. Support '!G64</f>
        <v>37.95452554744525</v>
      </c>
      <c r="P56" s="106">
        <v>28.41</v>
      </c>
      <c r="Q56" s="117">
        <f t="shared" si="3"/>
        <v>9.5445255474452502</v>
      </c>
      <c r="S56" s="108">
        <f>'Inst. Support '!K64</f>
        <v>11.50391592920354</v>
      </c>
      <c r="T56" s="106">
        <v>12</v>
      </c>
      <c r="U56" s="117">
        <f t="shared" si="4"/>
        <v>-0.49608407079646</v>
      </c>
      <c r="W56" s="108">
        <f>'Sch Admin'!D65</f>
        <v>103.69568776456445</v>
      </c>
      <c r="X56" s="106">
        <v>105</v>
      </c>
      <c r="Y56" s="117">
        <f t="shared" si="5"/>
        <v>-1.3043122354355461</v>
      </c>
    </row>
    <row r="57" spans="1:25" x14ac:dyDescent="0.25">
      <c r="A57" s="123" t="s">
        <v>55</v>
      </c>
      <c r="B57" s="111">
        <v>8632.56</v>
      </c>
      <c r="C57" s="78">
        <f>SUM('K '!L66,'1-3 '!J66,'4-6'!J66,'7-8 '!J66,'9-12 '!J66,'Special Ed (Simplified)'!I66)</f>
        <v>570.37431372194874</v>
      </c>
      <c r="D57" s="54">
        <v>577.87999999999988</v>
      </c>
      <c r="E57" s="110">
        <f t="shared" si="6"/>
        <v>-7.5056862780511437</v>
      </c>
      <c r="F57" s="417"/>
      <c r="G57" s="108">
        <f>'Special Ed (Simplified)'!H66</f>
        <v>11.008333333333333</v>
      </c>
      <c r="H57" s="106">
        <v>10.5</v>
      </c>
      <c r="I57" s="117">
        <f t="shared" si="1"/>
        <v>0.50833333333333286</v>
      </c>
      <c r="K57" s="108">
        <f>'Inst. Support '!D65</f>
        <v>24.664457142857142</v>
      </c>
      <c r="L57" s="106">
        <v>20.100000000000001</v>
      </c>
      <c r="M57" s="117">
        <f t="shared" si="2"/>
        <v>4.5644571428571403</v>
      </c>
      <c r="O57" s="108">
        <f>'Inst. Support '!G65</f>
        <v>12.602277372262773</v>
      </c>
      <c r="P57" s="106">
        <v>15.99</v>
      </c>
      <c r="Q57" s="117">
        <f t="shared" si="3"/>
        <v>-3.3877226277372277</v>
      </c>
      <c r="S57" s="108">
        <f>'Inst. Support '!K65</f>
        <v>3.8197168141592917</v>
      </c>
      <c r="T57" s="106">
        <v>7</v>
      </c>
      <c r="U57" s="117">
        <f t="shared" si="4"/>
        <v>-3.1802831858407083</v>
      </c>
      <c r="W57" s="108">
        <f>'Sch Admin'!D66</f>
        <v>38.024954248129916</v>
      </c>
      <c r="X57" s="106">
        <v>34</v>
      </c>
      <c r="Y57" s="117">
        <f t="shared" si="5"/>
        <v>4.0249542481299159</v>
      </c>
    </row>
    <row r="58" spans="1:25" x14ac:dyDescent="0.25">
      <c r="A58" s="123" t="s">
        <v>56</v>
      </c>
      <c r="B58" s="111">
        <v>1939.18</v>
      </c>
      <c r="C58" s="78">
        <f>SUM('K '!L67,'1-3 '!J67,'4-6'!J67,'7-8 '!J67,'9-12 '!J67,'Special Ed (Simplified)'!I67)</f>
        <v>128.21556587159526</v>
      </c>
      <c r="D58" s="54">
        <v>133.36000000000001</v>
      </c>
      <c r="E58" s="110">
        <f t="shared" si="6"/>
        <v>-5.1444341284047539</v>
      </c>
      <c r="F58" s="417"/>
      <c r="G58" s="108">
        <f>'Special Ed (Simplified)'!H67</f>
        <v>2.5499999999999998</v>
      </c>
      <c r="H58" s="106">
        <v>0</v>
      </c>
      <c r="I58" s="117">
        <f t="shared" si="1"/>
        <v>2.5499999999999998</v>
      </c>
      <c r="K58" s="108">
        <f>'Inst. Support '!D66</f>
        <v>5.5405142857142859</v>
      </c>
      <c r="L58" s="106">
        <v>5</v>
      </c>
      <c r="M58" s="117">
        <f t="shared" si="2"/>
        <v>0.54051428571428595</v>
      </c>
      <c r="O58" s="108">
        <f>'Inst. Support '!G66</f>
        <v>2.8309197080291972</v>
      </c>
      <c r="P58" s="106">
        <v>4</v>
      </c>
      <c r="Q58" s="117">
        <f t="shared" si="3"/>
        <v>-1.1690802919708028</v>
      </c>
      <c r="S58" s="108">
        <f>'Inst. Support '!K66</f>
        <v>0.85804424778761068</v>
      </c>
      <c r="T58" s="106">
        <v>1</v>
      </c>
      <c r="U58" s="117">
        <f t="shared" si="4"/>
        <v>-0.14195575221238932</v>
      </c>
      <c r="W58" s="108">
        <f>'Sch Admin'!D67</f>
        <v>8.5477043914396837</v>
      </c>
      <c r="X58" s="106">
        <v>9</v>
      </c>
      <c r="Y58" s="117">
        <f t="shared" si="5"/>
        <v>-0.45229560856031625</v>
      </c>
    </row>
    <row r="59" spans="1:25" x14ac:dyDescent="0.25">
      <c r="A59" s="123" t="s">
        <v>57</v>
      </c>
      <c r="B59" s="111">
        <v>3124.12</v>
      </c>
      <c r="C59" s="78">
        <f>SUM('K '!L68,'1-3 '!J68,'4-6'!J68,'7-8 '!J68,'9-12 '!J68,'Special Ed (Simplified)'!I68)</f>
        <v>215.03443568754568</v>
      </c>
      <c r="D59" s="54">
        <v>186.63</v>
      </c>
      <c r="E59" s="110">
        <f t="shared" si="6"/>
        <v>28.404435687545686</v>
      </c>
      <c r="F59" s="417"/>
      <c r="G59" s="108">
        <f>'Special Ed (Simplified)'!H68</f>
        <v>4.8583333333333334</v>
      </c>
      <c r="H59" s="106">
        <v>1</v>
      </c>
      <c r="I59" s="117">
        <f t="shared" si="1"/>
        <v>3.8583333333333334</v>
      </c>
      <c r="K59" s="108">
        <f>'Inst. Support '!D67</f>
        <v>8.9260571428571431</v>
      </c>
      <c r="L59" s="106">
        <v>7</v>
      </c>
      <c r="M59" s="117">
        <f t="shared" si="2"/>
        <v>1.9260571428571431</v>
      </c>
      <c r="O59" s="108">
        <f>'Inst. Support '!G67</f>
        <v>4.5607591240875909</v>
      </c>
      <c r="P59" s="106">
        <v>4</v>
      </c>
      <c r="Q59" s="117">
        <f t="shared" si="3"/>
        <v>0.56075912408759088</v>
      </c>
      <c r="S59" s="108">
        <f>'Inst. Support '!K67</f>
        <v>1.3823539823008848</v>
      </c>
      <c r="T59" s="106">
        <v>2</v>
      </c>
      <c r="U59" s="117">
        <f t="shared" si="4"/>
        <v>-0.6176460176991152</v>
      </c>
      <c r="W59" s="108">
        <f>'Sch Admin'!D68</f>
        <v>14.335629045836379</v>
      </c>
      <c r="X59" s="106">
        <v>13</v>
      </c>
      <c r="Y59" s="117">
        <f t="shared" si="5"/>
        <v>1.3356290458363791</v>
      </c>
    </row>
    <row r="60" spans="1:25" x14ac:dyDescent="0.25">
      <c r="A60" s="123" t="s">
        <v>58</v>
      </c>
      <c r="B60" s="111">
        <v>16899.259999999998</v>
      </c>
      <c r="C60" s="78">
        <f>SUM('K '!L69,'1-3 '!J69,'4-6'!J69,'7-8 '!J69,'9-12 '!J69,'Special Ed (Simplified)'!I69)</f>
        <v>1010.6782579771391</v>
      </c>
      <c r="D60" s="54">
        <v>1207.6599999999999</v>
      </c>
      <c r="E60" s="110">
        <f t="shared" si="6"/>
        <v>-196.98174202286077</v>
      </c>
      <c r="F60" s="417"/>
      <c r="G60" s="108">
        <f>'Special Ed (Simplified)'!H69</f>
        <v>17.899999999999999</v>
      </c>
      <c r="H60" s="106">
        <v>25.36</v>
      </c>
      <c r="I60" s="117">
        <f t="shared" si="1"/>
        <v>-7.4600000000000009</v>
      </c>
      <c r="K60" s="108">
        <f>'Inst. Support '!D68</f>
        <v>48.283599999999993</v>
      </c>
      <c r="L60" s="106">
        <v>45.989999999999995</v>
      </c>
      <c r="M60" s="117">
        <f t="shared" si="2"/>
        <v>2.2935999999999979</v>
      </c>
      <c r="O60" s="108">
        <f>'Inst. Support '!G68</f>
        <v>24.670452554744521</v>
      </c>
      <c r="P60" s="106">
        <v>19</v>
      </c>
      <c r="Q60" s="117">
        <f t="shared" si="3"/>
        <v>5.6704525547445215</v>
      </c>
      <c r="S60" s="108">
        <f>'Inst. Support '!K68</f>
        <v>7.4775486725663711</v>
      </c>
      <c r="T60" s="106">
        <v>7.3699999999999992</v>
      </c>
      <c r="U60" s="117">
        <f t="shared" si="4"/>
        <v>0.10754867256637191</v>
      </c>
      <c r="W60" s="108">
        <f>'Sch Admin'!D69</f>
        <v>67.378550531809267</v>
      </c>
      <c r="X60" s="106">
        <v>64</v>
      </c>
      <c r="Y60" s="117">
        <f t="shared" si="5"/>
        <v>3.3785505318092675</v>
      </c>
    </row>
    <row r="61" spans="1:25" x14ac:dyDescent="0.25">
      <c r="A61" s="123" t="s">
        <v>59</v>
      </c>
      <c r="B61" s="111">
        <v>4230.8599999999997</v>
      </c>
      <c r="C61" s="78">
        <f>SUM('K '!L70,'1-3 '!J70,'4-6'!J70,'7-8 '!J70,'9-12 '!J70,'Special Ed (Simplified)'!I70)</f>
        <v>292.70210883095376</v>
      </c>
      <c r="D61" s="54">
        <v>251.15999999999997</v>
      </c>
      <c r="E61" s="110">
        <f t="shared" si="6"/>
        <v>41.542108830953794</v>
      </c>
      <c r="F61" s="417"/>
      <c r="G61" s="108">
        <f>'Special Ed (Simplified)'!H70</f>
        <v>5.7833333333333332</v>
      </c>
      <c r="H61" s="106">
        <v>2</v>
      </c>
      <c r="I61" s="117">
        <f t="shared" si="1"/>
        <v>3.7833333333333332</v>
      </c>
      <c r="K61" s="108">
        <f>'Inst. Support '!D69</f>
        <v>12.088171428571428</v>
      </c>
      <c r="L61" s="106">
        <v>12.5</v>
      </c>
      <c r="M61" s="117">
        <f t="shared" si="2"/>
        <v>-0.41182857142857188</v>
      </c>
      <c r="O61" s="108">
        <f>'Inst. Support '!G69</f>
        <v>6.1764379562043787</v>
      </c>
      <c r="P61" s="106">
        <v>8.52</v>
      </c>
      <c r="Q61" s="117">
        <f t="shared" si="3"/>
        <v>-2.3435620437956208</v>
      </c>
      <c r="S61" s="108">
        <f>'Inst. Support '!K69</f>
        <v>1.8720619469026547</v>
      </c>
      <c r="T61" s="106">
        <v>2</v>
      </c>
      <c r="U61" s="117">
        <f t="shared" si="4"/>
        <v>-0.12793805309734529</v>
      </c>
      <c r="W61" s="108">
        <f>'Sch Admin'!D70</f>
        <v>19.513473922063586</v>
      </c>
      <c r="X61" s="106">
        <v>20</v>
      </c>
      <c r="Y61" s="117">
        <f t="shared" si="5"/>
        <v>-0.48652607793641423</v>
      </c>
    </row>
    <row r="62" spans="1:25" x14ac:dyDescent="0.25">
      <c r="A62" s="123" t="s">
        <v>60</v>
      </c>
      <c r="B62" s="111">
        <v>3684.37</v>
      </c>
      <c r="C62" s="78">
        <f>SUM('K '!L71,'1-3 '!J71,'4-6'!J71,'7-8 '!J71,'9-12 '!J71,'Special Ed (Simplified)'!I71)</f>
        <v>246.95559172690275</v>
      </c>
      <c r="D62" s="54">
        <v>230.89</v>
      </c>
      <c r="E62" s="110">
        <f t="shared" si="6"/>
        <v>16.065591726902767</v>
      </c>
      <c r="F62" s="417"/>
      <c r="G62" s="108">
        <f>'Special Ed (Simplified)'!H71</f>
        <v>4.3</v>
      </c>
      <c r="H62" s="106">
        <v>0</v>
      </c>
      <c r="I62" s="117">
        <f t="shared" si="1"/>
        <v>4.3</v>
      </c>
      <c r="K62" s="108">
        <f>'Inst. Support '!D70</f>
        <v>10.526771428571429</v>
      </c>
      <c r="L62" s="106">
        <v>10</v>
      </c>
      <c r="M62" s="117">
        <f t="shared" si="2"/>
        <v>0.52677142857142911</v>
      </c>
      <c r="O62" s="108">
        <f>'Inst. Support '!G70</f>
        <v>5.3786423357664228</v>
      </c>
      <c r="P62" s="106">
        <v>5.28</v>
      </c>
      <c r="Q62" s="117">
        <f t="shared" si="3"/>
        <v>9.8642335766422562E-2</v>
      </c>
      <c r="S62" s="108">
        <f>'Inst. Support '!K70</f>
        <v>1.6302522123893806</v>
      </c>
      <c r="T62" s="106">
        <v>4</v>
      </c>
      <c r="U62" s="117">
        <f t="shared" si="4"/>
        <v>-2.3697477876106197</v>
      </c>
      <c r="W62" s="108">
        <f>'Sch Admin'!D71</f>
        <v>16.46370611512685</v>
      </c>
      <c r="X62" s="106">
        <v>16</v>
      </c>
      <c r="Y62" s="117">
        <f t="shared" si="5"/>
        <v>0.46370611512685045</v>
      </c>
    </row>
    <row r="63" spans="1:25" x14ac:dyDescent="0.25">
      <c r="A63" s="123" t="s">
        <v>61</v>
      </c>
      <c r="B63" s="111">
        <v>665.85</v>
      </c>
      <c r="C63" s="78">
        <f>SUM('K '!L72,'1-3 '!J72,'4-6'!J72,'7-8 '!J72,'9-12 '!J72,'Special Ed (Simplified)'!I72)</f>
        <v>45.454563868071524</v>
      </c>
      <c r="D63" s="54">
        <v>47.64</v>
      </c>
      <c r="E63" s="110">
        <f t="shared" si="6"/>
        <v>-2.1854361319284763</v>
      </c>
      <c r="F63" s="417"/>
      <c r="G63" s="108">
        <f>'Special Ed (Simplified)'!H72</f>
        <v>0.82499999999999996</v>
      </c>
      <c r="H63" s="106">
        <v>0</v>
      </c>
      <c r="I63" s="117">
        <f t="shared" si="1"/>
        <v>0.82499999999999996</v>
      </c>
      <c r="K63" s="108">
        <f>'Inst. Support '!D71</f>
        <v>1.9024285714285716</v>
      </c>
      <c r="L63" s="106">
        <v>3</v>
      </c>
      <c r="M63" s="117">
        <f t="shared" si="2"/>
        <v>-1.0975714285714284</v>
      </c>
      <c r="O63" s="108">
        <f>'Inst. Support '!G71</f>
        <v>0.97204379562043797</v>
      </c>
      <c r="P63" s="106">
        <v>2</v>
      </c>
      <c r="Q63" s="117">
        <f t="shared" si="3"/>
        <v>-1.027956204379562</v>
      </c>
      <c r="S63" s="108">
        <f>'Inst. Support '!K71</f>
        <v>0.29462389380530973</v>
      </c>
      <c r="T63" s="106">
        <v>1.1000000000000001</v>
      </c>
      <c r="U63" s="117">
        <f t="shared" si="4"/>
        <v>-0.80537610619469036</v>
      </c>
      <c r="W63" s="108">
        <f>'Sch Admin'!D72</f>
        <v>3.030304257871435</v>
      </c>
      <c r="X63" s="106">
        <v>4</v>
      </c>
      <c r="Y63" s="117">
        <f t="shared" si="5"/>
        <v>-0.96969574212856502</v>
      </c>
    </row>
    <row r="64" spans="1:25" x14ac:dyDescent="0.25">
      <c r="A64" s="123" t="s">
        <v>62</v>
      </c>
      <c r="B64" s="111">
        <v>5751.42</v>
      </c>
      <c r="C64" s="78">
        <f>SUM('K '!L73,'1-3 '!J73,'4-6'!J73,'7-8 '!J73,'9-12 '!J73,'Special Ed (Simplified)'!I73)</f>
        <v>371.56790667683276</v>
      </c>
      <c r="D64" s="54">
        <v>395.90000000000003</v>
      </c>
      <c r="E64" s="110">
        <f t="shared" si="6"/>
        <v>-24.332093323167271</v>
      </c>
      <c r="F64" s="417"/>
      <c r="G64" s="108">
        <f>'Special Ed (Simplified)'!H73</f>
        <v>6.583333333333333</v>
      </c>
      <c r="H64" s="106">
        <v>1.6099999999999999</v>
      </c>
      <c r="I64" s="117">
        <f t="shared" si="1"/>
        <v>4.9733333333333327</v>
      </c>
      <c r="K64" s="108">
        <f>'Inst. Support '!D72</f>
        <v>16.432628571428573</v>
      </c>
      <c r="L64" s="106">
        <v>20</v>
      </c>
      <c r="M64" s="117">
        <f t="shared" si="2"/>
        <v>-3.5673714285714269</v>
      </c>
      <c r="O64" s="108">
        <f>'Inst. Support '!G72</f>
        <v>8.3962335766423362</v>
      </c>
      <c r="P64" s="106">
        <v>11</v>
      </c>
      <c r="Q64" s="117">
        <f t="shared" si="3"/>
        <v>-2.6037664233576638</v>
      </c>
      <c r="S64" s="108">
        <f>'Inst. Support '!K72</f>
        <v>2.5448761061946903</v>
      </c>
      <c r="T64" s="106">
        <v>0</v>
      </c>
      <c r="U64" s="117">
        <f t="shared" si="4"/>
        <v>2.5448761061946903</v>
      </c>
      <c r="W64" s="108">
        <f>'Sch Admin'!D73</f>
        <v>24.771193778455519</v>
      </c>
      <c r="X64" s="106">
        <v>31</v>
      </c>
      <c r="Y64" s="117">
        <f t="shared" si="5"/>
        <v>-6.228806221544481</v>
      </c>
    </row>
    <row r="65" spans="1:25" x14ac:dyDescent="0.25">
      <c r="A65" s="123" t="s">
        <v>63</v>
      </c>
      <c r="B65" s="111">
        <v>10099.5</v>
      </c>
      <c r="C65" s="78">
        <f>SUM('K '!L74,'1-3 '!J74,'4-6'!J74,'7-8 '!J74,'9-12 '!J74,'Special Ed (Simplified)'!I74)</f>
        <v>666.69856126491572</v>
      </c>
      <c r="D65" s="54">
        <v>712.6</v>
      </c>
      <c r="E65" s="110">
        <f t="shared" si="6"/>
        <v>-45.901438735084298</v>
      </c>
      <c r="F65" s="417"/>
      <c r="G65" s="108">
        <f>'Special Ed (Simplified)'!H74</f>
        <v>15.058333333333334</v>
      </c>
      <c r="H65" s="106">
        <v>8.59</v>
      </c>
      <c r="I65" s="117">
        <f t="shared" si="1"/>
        <v>6.4683333333333337</v>
      </c>
      <c r="K65" s="108">
        <f>'Inst. Support '!D73</f>
        <v>28.855714285714285</v>
      </c>
      <c r="L65" s="106">
        <v>25.389999999999997</v>
      </c>
      <c r="M65" s="117">
        <f t="shared" si="2"/>
        <v>3.465714285714288</v>
      </c>
      <c r="O65" s="108">
        <f>'Inst. Support '!G73</f>
        <v>14.743795620437956</v>
      </c>
      <c r="P65" s="106">
        <v>17</v>
      </c>
      <c r="Q65" s="117">
        <f t="shared" si="3"/>
        <v>-2.2562043795620443</v>
      </c>
      <c r="S65" s="108">
        <f>'Inst. Support '!K73</f>
        <v>4.4688053097345133</v>
      </c>
      <c r="T65" s="106">
        <v>7.88</v>
      </c>
      <c r="U65" s="117">
        <f t="shared" si="4"/>
        <v>-3.4111946902654866</v>
      </c>
      <c r="W65" s="108">
        <f>'Sch Admin'!D74</f>
        <v>44.446570750994383</v>
      </c>
      <c r="X65" s="106">
        <v>45</v>
      </c>
      <c r="Y65" s="117">
        <f t="shared" si="5"/>
        <v>-0.55342924900561741</v>
      </c>
    </row>
    <row r="66" spans="1:25" x14ac:dyDescent="0.25">
      <c r="A66" s="123" t="s">
        <v>64</v>
      </c>
      <c r="B66" s="111">
        <v>2483.25</v>
      </c>
      <c r="C66" s="78">
        <f>SUM('K '!L75,'1-3 '!J75,'4-6'!J75,'7-8 '!J75,'9-12 '!J75,'Special Ed (Simplified)'!I75)</f>
        <v>168.11975422391333</v>
      </c>
      <c r="D66" s="54">
        <v>173.76000000000005</v>
      </c>
      <c r="E66" s="110">
        <f t="shared" si="6"/>
        <v>-5.6402457760867151</v>
      </c>
      <c r="F66" s="417"/>
      <c r="G66" s="108">
        <f>'Special Ed (Simplified)'!H75</f>
        <v>3</v>
      </c>
      <c r="H66" s="106">
        <v>0</v>
      </c>
      <c r="I66" s="117">
        <f t="shared" si="1"/>
        <v>3</v>
      </c>
      <c r="K66" s="108">
        <f>'Inst. Support '!D74</f>
        <v>7.0949999999999998</v>
      </c>
      <c r="L66" s="106">
        <v>10.99</v>
      </c>
      <c r="M66" s="117">
        <f t="shared" si="2"/>
        <v>-3.8950000000000005</v>
      </c>
      <c r="O66" s="108">
        <f>'Inst. Support '!G74</f>
        <v>3.6251824817518248</v>
      </c>
      <c r="P66" s="106">
        <v>5.99</v>
      </c>
      <c r="Q66" s="117">
        <f t="shared" si="3"/>
        <v>-2.3648175182481754</v>
      </c>
      <c r="S66" s="108">
        <f>'Inst. Support '!K74</f>
        <v>1.098783185840708</v>
      </c>
      <c r="T66" s="106">
        <v>2.5</v>
      </c>
      <c r="U66" s="117">
        <f t="shared" si="4"/>
        <v>-1.401216814159292</v>
      </c>
      <c r="W66" s="108">
        <f>'Sch Admin'!D75</f>
        <v>11.207983614927555</v>
      </c>
      <c r="X66" s="106">
        <v>14</v>
      </c>
      <c r="Y66" s="117">
        <f t="shared" si="5"/>
        <v>-2.7920163850724453</v>
      </c>
    </row>
    <row r="67" spans="1:25" x14ac:dyDescent="0.25">
      <c r="A67" s="123" t="s">
        <v>65</v>
      </c>
      <c r="B67" s="111">
        <v>3390.2</v>
      </c>
      <c r="C67" s="78">
        <f>SUM('K '!L76,'1-3 '!J76,'4-6'!J76,'7-8 '!J76,'9-12 '!J76,'Special Ed (Simplified)'!I76)</f>
        <v>219.65471620092956</v>
      </c>
      <c r="D67" s="54">
        <v>209.41</v>
      </c>
      <c r="E67" s="110">
        <f t="shared" si="6"/>
        <v>10.24471620092956</v>
      </c>
      <c r="F67" s="417"/>
      <c r="G67" s="108">
        <f>'Special Ed (Simplified)'!H76</f>
        <v>3.45</v>
      </c>
      <c r="H67" s="106">
        <v>2.2000000000000002</v>
      </c>
      <c r="I67" s="117">
        <f t="shared" si="1"/>
        <v>1.25</v>
      </c>
      <c r="K67" s="108">
        <f>'Inst. Support '!D75</f>
        <v>9.6862857142857131</v>
      </c>
      <c r="L67" s="106">
        <v>11.96</v>
      </c>
      <c r="M67" s="117">
        <f t="shared" si="2"/>
        <v>-2.2737142857142878</v>
      </c>
      <c r="O67" s="108">
        <f>'Inst. Support '!G75</f>
        <v>4.9491970802919703</v>
      </c>
      <c r="P67" s="106">
        <v>5</v>
      </c>
      <c r="Q67" s="117">
        <f t="shared" si="3"/>
        <v>-5.0802919708029748E-2</v>
      </c>
      <c r="S67" s="108">
        <f>'Inst. Support '!K75</f>
        <v>1.5000884955752212</v>
      </c>
      <c r="T67" s="106">
        <v>0</v>
      </c>
      <c r="U67" s="117">
        <f t="shared" si="4"/>
        <v>1.5000884955752212</v>
      </c>
      <c r="W67" s="108">
        <f>'Sch Admin'!D76</f>
        <v>14.643647746728638</v>
      </c>
      <c r="X67" s="106">
        <v>18</v>
      </c>
      <c r="Y67" s="117">
        <f t="shared" si="5"/>
        <v>-3.3563522532713623</v>
      </c>
    </row>
    <row r="68" spans="1:25" x14ac:dyDescent="0.25">
      <c r="A68" s="123" t="s">
        <v>66</v>
      </c>
      <c r="B68" s="111">
        <v>6118.74</v>
      </c>
      <c r="C68" s="78">
        <f>SUM('K '!L77,'1-3 '!J77,'4-6'!J77,'7-8 '!J77,'9-12 '!J77,'Special Ed (Simplified)'!I77)</f>
        <v>404.11948882581197</v>
      </c>
      <c r="D68" s="54">
        <v>365.25999999999993</v>
      </c>
      <c r="E68" s="110">
        <f t="shared" si="6"/>
        <v>38.859488825812036</v>
      </c>
      <c r="F68" s="417"/>
      <c r="G68" s="108">
        <f>'Special Ed (Simplified)'!H77</f>
        <v>6.1166666666666663</v>
      </c>
      <c r="H68" s="106">
        <v>2.93</v>
      </c>
      <c r="I68" s="117">
        <f t="shared" si="1"/>
        <v>3.1866666666666661</v>
      </c>
      <c r="K68" s="108">
        <f>'Inst. Support '!D76</f>
        <v>17.482114285714285</v>
      </c>
      <c r="L68" s="106">
        <v>21</v>
      </c>
      <c r="M68" s="117">
        <f t="shared" si="2"/>
        <v>-3.5178857142857147</v>
      </c>
      <c r="O68" s="108">
        <f>'Inst. Support '!G76</f>
        <v>8.9324671532846711</v>
      </c>
      <c r="P68" s="106">
        <v>10.23</v>
      </c>
      <c r="Q68" s="117">
        <f t="shared" si="3"/>
        <v>-1.2975328467153293</v>
      </c>
      <c r="S68" s="108">
        <f>'Inst. Support '!K76</f>
        <v>2.7074070796460177</v>
      </c>
      <c r="T68" s="106">
        <v>6.79</v>
      </c>
      <c r="U68" s="117">
        <f t="shared" si="4"/>
        <v>-4.0825929203539824</v>
      </c>
      <c r="W68" s="108">
        <f>'Sch Admin'!D77</f>
        <v>26.94129925505413</v>
      </c>
      <c r="X68" s="106">
        <v>33</v>
      </c>
      <c r="Y68" s="117">
        <f t="shared" si="5"/>
        <v>-6.0587007449458703</v>
      </c>
    </row>
    <row r="69" spans="1:25" x14ac:dyDescent="0.25">
      <c r="A69" s="123" t="s">
        <v>67</v>
      </c>
      <c r="B69" s="111">
        <v>15618.17</v>
      </c>
      <c r="C69" s="78">
        <f>SUM('K '!L78,'1-3 '!J78,'4-6'!J78,'7-8 '!J78,'9-12 '!J78,'Special Ed (Simplified)'!I78)</f>
        <v>970.12943224888613</v>
      </c>
      <c r="D69" s="54">
        <v>911.14999999999986</v>
      </c>
      <c r="E69" s="110">
        <f t="shared" si="6"/>
        <v>58.979432248886269</v>
      </c>
      <c r="F69" s="417"/>
      <c r="G69" s="108">
        <f>'Special Ed (Simplified)'!H78</f>
        <v>16.225000000000001</v>
      </c>
      <c r="H69" s="106">
        <v>5.33</v>
      </c>
      <c r="I69" s="117">
        <f t="shared" si="1"/>
        <v>10.895000000000001</v>
      </c>
      <c r="K69" s="108">
        <f>'Inst. Support '!D77</f>
        <v>44.623342857142859</v>
      </c>
      <c r="L69" s="106">
        <v>34.33</v>
      </c>
      <c r="M69" s="117">
        <f t="shared" si="2"/>
        <v>10.293342857142861</v>
      </c>
      <c r="O69" s="108">
        <f>'Inst. Support '!G77</f>
        <v>22.800248175182482</v>
      </c>
      <c r="P69" s="106">
        <v>20.67</v>
      </c>
      <c r="Q69" s="117">
        <f t="shared" si="3"/>
        <v>2.13024817518248</v>
      </c>
      <c r="S69" s="108">
        <f>'Inst. Support '!K77</f>
        <v>6.9106946902654869</v>
      </c>
      <c r="T69" s="106">
        <v>5</v>
      </c>
      <c r="U69" s="117">
        <f t="shared" si="4"/>
        <v>1.9106946902654869</v>
      </c>
      <c r="W69" s="108">
        <f>'Sch Admin'!D78</f>
        <v>64.675295483259077</v>
      </c>
      <c r="X69" s="106">
        <v>61</v>
      </c>
      <c r="Y69" s="117">
        <f t="shared" si="5"/>
        <v>3.6752954832590774</v>
      </c>
    </row>
    <row r="70" spans="1:25" x14ac:dyDescent="0.25">
      <c r="A70" s="123" t="s">
        <v>68</v>
      </c>
      <c r="B70" s="111">
        <v>22502.1</v>
      </c>
      <c r="C70" s="78">
        <f>SUM('K '!L79,'1-3 '!J79,'4-6'!J79,'7-8 '!J79,'9-12 '!J79,'Special Ed (Simplified)'!I79)</f>
        <v>1468.2483080488514</v>
      </c>
      <c r="D70" s="54">
        <v>1705.9600000000003</v>
      </c>
      <c r="E70" s="110">
        <f t="shared" ref="E70:E86" si="7">C70-D70</f>
        <v>-237.71169195114885</v>
      </c>
      <c r="F70" s="417"/>
      <c r="G70" s="108">
        <f>'Special Ed (Simplified)'!H79</f>
        <v>26.091666666666665</v>
      </c>
      <c r="H70" s="106">
        <v>18.5</v>
      </c>
      <c r="I70" s="117">
        <f t="shared" si="1"/>
        <v>7.591666666666665</v>
      </c>
      <c r="K70" s="108">
        <f>'Inst. Support '!D78</f>
        <v>64.291714285714278</v>
      </c>
      <c r="L70" s="106">
        <v>83.24</v>
      </c>
      <c r="M70" s="117">
        <f t="shared" si="2"/>
        <v>-18.948285714285717</v>
      </c>
      <c r="O70" s="108">
        <f>'Inst. Support '!G78</f>
        <v>32.849781021897805</v>
      </c>
      <c r="P70" s="106">
        <v>38.309999999999995</v>
      </c>
      <c r="Q70" s="117">
        <f t="shared" si="3"/>
        <v>-5.4602189781021906</v>
      </c>
      <c r="S70" s="108">
        <f>'Inst. Support '!K78</f>
        <v>9.9566814159292036</v>
      </c>
      <c r="T70" s="106">
        <v>6.03</v>
      </c>
      <c r="U70" s="117">
        <f t="shared" si="4"/>
        <v>3.9266814159292034</v>
      </c>
      <c r="W70" s="108">
        <f>'Sch Admin'!D79</f>
        <v>97.883220536590088</v>
      </c>
      <c r="X70" s="106">
        <v>133</v>
      </c>
      <c r="Y70" s="117">
        <f t="shared" si="5"/>
        <v>-35.116779463409912</v>
      </c>
    </row>
    <row r="71" spans="1:25" x14ac:dyDescent="0.25">
      <c r="A71" s="123" t="s">
        <v>69</v>
      </c>
      <c r="B71" s="111">
        <v>27586.57</v>
      </c>
      <c r="C71" s="78">
        <f>SUM('K '!L80,'1-3 '!J80,'4-6'!J80,'7-8 '!J80,'9-12 '!J80,'Special Ed (Simplified)'!I80)</f>
        <v>1690.2759820787135</v>
      </c>
      <c r="D71" s="54">
        <v>1785.0300000000009</v>
      </c>
      <c r="E71" s="110">
        <f t="shared" si="7"/>
        <v>-94.754017921287414</v>
      </c>
      <c r="F71" s="417"/>
      <c r="G71" s="108">
        <f>'Special Ed (Simplified)'!H80</f>
        <v>28.266666666666666</v>
      </c>
      <c r="H71" s="106">
        <v>26.25</v>
      </c>
      <c r="I71" s="117">
        <f t="shared" ref="I71:I86" si="8">G71-H71</f>
        <v>2.0166666666666657</v>
      </c>
      <c r="K71" s="108">
        <f>'Inst. Support '!D79</f>
        <v>78.818771428571424</v>
      </c>
      <c r="L71" s="106">
        <v>68.98</v>
      </c>
      <c r="M71" s="117">
        <f t="shared" ref="M71:M86" si="9">K71-L71</f>
        <v>9.8387714285714196</v>
      </c>
      <c r="O71" s="108">
        <f>'Inst. Support '!G79</f>
        <v>40.272364963503648</v>
      </c>
      <c r="P71" s="106">
        <v>36</v>
      </c>
      <c r="Q71" s="117">
        <f t="shared" ref="Q71:Q87" si="10">O71-P71</f>
        <v>4.272364963503648</v>
      </c>
      <c r="S71" s="108">
        <f>'Inst. Support '!K79</f>
        <v>12.206446902654868</v>
      </c>
      <c r="T71" s="106">
        <v>29.86</v>
      </c>
      <c r="U71" s="117">
        <f t="shared" ref="U71:U86" si="11">S71-T71</f>
        <v>-17.653553097345132</v>
      </c>
      <c r="W71" s="108">
        <f>'Sch Admin'!D80</f>
        <v>112.68506547191423</v>
      </c>
      <c r="X71" s="106">
        <v>120</v>
      </c>
      <c r="Y71" s="117">
        <f t="shared" ref="Y71:Y86" si="12">W71-X71</f>
        <v>-7.3149345280857716</v>
      </c>
    </row>
    <row r="72" spans="1:25" x14ac:dyDescent="0.25">
      <c r="A72" s="123" t="s">
        <v>70</v>
      </c>
      <c r="B72" s="111">
        <v>2197.3200000000002</v>
      </c>
      <c r="C72" s="78">
        <f>SUM('K '!L81,'1-3 '!J81,'4-6'!J81,'7-8 '!J81,'9-12 '!J81,'Special Ed (Simplified)'!I81)</f>
        <v>147.76238181088081</v>
      </c>
      <c r="D72" s="54">
        <v>124.59</v>
      </c>
      <c r="E72" s="110">
        <f t="shared" si="7"/>
        <v>23.172381810880808</v>
      </c>
      <c r="F72" s="417"/>
      <c r="G72" s="108">
        <f>'Special Ed (Simplified)'!H81</f>
        <v>3.0750000000000002</v>
      </c>
      <c r="H72" s="106">
        <v>0</v>
      </c>
      <c r="I72" s="117">
        <f t="shared" si="8"/>
        <v>3.0750000000000002</v>
      </c>
      <c r="K72" s="108">
        <f>'Inst. Support '!D80</f>
        <v>6.2780571428571434</v>
      </c>
      <c r="L72" s="106">
        <v>5.8</v>
      </c>
      <c r="M72" s="117">
        <f t="shared" si="9"/>
        <v>0.47805714285714362</v>
      </c>
      <c r="O72" s="108">
        <f>'Inst. Support '!G80</f>
        <v>3.2077664233576644</v>
      </c>
      <c r="P72" s="106">
        <v>5</v>
      </c>
      <c r="Q72" s="117">
        <f t="shared" si="10"/>
        <v>-1.7922335766423356</v>
      </c>
      <c r="S72" s="108">
        <f>'Inst. Support '!K80</f>
        <v>0.97226548672566382</v>
      </c>
      <c r="T72" s="106">
        <v>3</v>
      </c>
      <c r="U72" s="117">
        <f t="shared" si="11"/>
        <v>-2.0277345132743361</v>
      </c>
      <c r="W72" s="108">
        <f>'Sch Admin'!D81</f>
        <v>9.8508254540587199</v>
      </c>
      <c r="X72" s="106">
        <v>10</v>
      </c>
      <c r="Y72" s="117">
        <f t="shared" si="12"/>
        <v>-0.1491745459412801</v>
      </c>
    </row>
    <row r="73" spans="1:25" x14ac:dyDescent="0.25">
      <c r="A73" s="123" t="s">
        <v>71</v>
      </c>
      <c r="B73" s="111">
        <v>4904.8</v>
      </c>
      <c r="C73" s="78">
        <f>SUM('K '!L82,'1-3 '!J82,'4-6'!J82,'7-8 '!J82,'9-12 '!J82,'Special Ed (Simplified)'!I82)</f>
        <v>298.52448393824329</v>
      </c>
      <c r="D73" s="54">
        <v>310.33999999999997</v>
      </c>
      <c r="E73" s="110">
        <f t="shared" si="7"/>
        <v>-11.815516061756682</v>
      </c>
      <c r="F73" s="417"/>
      <c r="G73" s="108">
        <f>'Special Ed (Simplified)'!H82</f>
        <v>4.375</v>
      </c>
      <c r="H73" s="106">
        <v>1</v>
      </c>
      <c r="I73" s="117">
        <f t="shared" si="8"/>
        <v>3.375</v>
      </c>
      <c r="K73" s="108">
        <f>'Inst. Support '!D81</f>
        <v>14.013714285714286</v>
      </c>
      <c r="L73" s="106">
        <v>13.1</v>
      </c>
      <c r="M73" s="117">
        <f t="shared" si="9"/>
        <v>0.91371428571428659</v>
      </c>
      <c r="O73" s="108">
        <f>'Inst. Support '!G81</f>
        <v>7.1602919708029198</v>
      </c>
      <c r="P73" s="106">
        <v>10</v>
      </c>
      <c r="Q73" s="117">
        <f t="shared" si="10"/>
        <v>-2.8397080291970802</v>
      </c>
      <c r="S73" s="108">
        <f>'Inst. Support '!K81</f>
        <v>2.1702654867256639</v>
      </c>
      <c r="T73" s="106">
        <v>5.92</v>
      </c>
      <c r="U73" s="117">
        <f t="shared" si="11"/>
        <v>-3.749734513274336</v>
      </c>
      <c r="W73" s="108">
        <f>'Sch Admin'!D82</f>
        <v>19.901632262549551</v>
      </c>
      <c r="X73" s="106">
        <v>23</v>
      </c>
      <c r="Y73" s="117">
        <f t="shared" si="12"/>
        <v>-3.0983677374504488</v>
      </c>
    </row>
    <row r="74" spans="1:25" x14ac:dyDescent="0.25">
      <c r="A74" s="123" t="s">
        <v>72</v>
      </c>
      <c r="B74" s="111">
        <v>9921.15</v>
      </c>
      <c r="C74" s="78">
        <f>SUM('K '!L83,'1-3 '!J83,'4-6'!J83,'7-8 '!J83,'9-12 '!J83,'Special Ed (Simplified)'!I83)</f>
        <v>615.12827283211686</v>
      </c>
      <c r="D74" s="54">
        <v>586.92000000000019</v>
      </c>
      <c r="E74" s="110">
        <f t="shared" si="7"/>
        <v>28.208272832116677</v>
      </c>
      <c r="F74" s="417"/>
      <c r="G74" s="108">
        <f>'Special Ed (Simplified)'!H83</f>
        <v>10.35</v>
      </c>
      <c r="H74" s="106">
        <v>7.1</v>
      </c>
      <c r="I74" s="117">
        <f t="shared" si="8"/>
        <v>3.25</v>
      </c>
      <c r="K74" s="108">
        <f>'Inst. Support '!D82</f>
        <v>28.346142857142855</v>
      </c>
      <c r="L74" s="106">
        <v>20.619999999999997</v>
      </c>
      <c r="M74" s="117">
        <f t="shared" si="9"/>
        <v>7.7261428571428574</v>
      </c>
      <c r="O74" s="108">
        <f>'Inst. Support '!G82</f>
        <v>14.483430656934306</v>
      </c>
      <c r="P74" s="106">
        <v>16</v>
      </c>
      <c r="Q74" s="117">
        <f t="shared" si="10"/>
        <v>-1.5165693430656937</v>
      </c>
      <c r="S74" s="108">
        <f>'Inst. Support '!K82</f>
        <v>4.3898893805309731</v>
      </c>
      <c r="T74" s="106">
        <v>6.5</v>
      </c>
      <c r="U74" s="117">
        <f t="shared" si="11"/>
        <v>-2.1101106194690269</v>
      </c>
      <c r="W74" s="108">
        <f>'Sch Admin'!D83</f>
        <v>41.008551522141126</v>
      </c>
      <c r="X74" s="106">
        <v>36</v>
      </c>
      <c r="Y74" s="117">
        <f t="shared" si="12"/>
        <v>5.0085515221411256</v>
      </c>
    </row>
    <row r="75" spans="1:25" x14ac:dyDescent="0.25">
      <c r="A75" s="123" t="s">
        <v>73</v>
      </c>
      <c r="B75" s="111">
        <v>2737.16</v>
      </c>
      <c r="C75" s="78">
        <f>SUM('K '!L84,'1-3 '!J84,'4-6'!J84,'7-8 '!J84,'9-12 '!J84,'Special Ed (Simplified)'!I84)</f>
        <v>179.42411972114556</v>
      </c>
      <c r="D75" s="54">
        <v>178.22</v>
      </c>
      <c r="E75" s="110">
        <f t="shared" si="7"/>
        <v>1.2041197211455597</v>
      </c>
      <c r="F75" s="417"/>
      <c r="G75" s="108">
        <f>'Special Ed (Simplified)'!H84</f>
        <v>3.4916666666666667</v>
      </c>
      <c r="H75" s="106">
        <v>0.18</v>
      </c>
      <c r="I75" s="117">
        <f t="shared" si="8"/>
        <v>3.3116666666666665</v>
      </c>
      <c r="K75" s="108">
        <f>'Inst. Support '!D83</f>
        <v>7.8204571428571423</v>
      </c>
      <c r="L75" s="106">
        <v>8.8000000000000007</v>
      </c>
      <c r="M75" s="117">
        <f t="shared" si="9"/>
        <v>-0.97954285714285838</v>
      </c>
      <c r="O75" s="108">
        <f>'Inst. Support '!G83</f>
        <v>3.9958540145985397</v>
      </c>
      <c r="P75" s="106">
        <v>6.37</v>
      </c>
      <c r="Q75" s="117">
        <f t="shared" si="10"/>
        <v>-2.3741459854014604</v>
      </c>
      <c r="S75" s="108">
        <f>'Inst. Support '!K83</f>
        <v>1.2111327433628318</v>
      </c>
      <c r="T75" s="106">
        <v>1</v>
      </c>
      <c r="U75" s="117">
        <f t="shared" si="11"/>
        <v>0.21113274336283183</v>
      </c>
      <c r="W75" s="108">
        <f>'Sch Admin'!D84</f>
        <v>11.961607981409704</v>
      </c>
      <c r="X75" s="106">
        <v>10</v>
      </c>
      <c r="Y75" s="117">
        <f t="shared" si="12"/>
        <v>1.9616079814097045</v>
      </c>
    </row>
    <row r="76" spans="1:25" x14ac:dyDescent="0.25">
      <c r="A76" s="123" t="s">
        <v>74</v>
      </c>
      <c r="B76" s="111">
        <v>2669.43</v>
      </c>
      <c r="C76" s="78">
        <f>SUM('K '!L85,'1-3 '!J85,'4-6'!J85,'7-8 '!J85,'9-12 '!J85,'Special Ed (Simplified)'!I85)</f>
        <v>171.80108821600123</v>
      </c>
      <c r="D76" s="54">
        <v>143.43</v>
      </c>
      <c r="E76" s="110">
        <f t="shared" si="7"/>
        <v>28.371088216001226</v>
      </c>
      <c r="F76" s="417"/>
      <c r="G76" s="108">
        <f>'Special Ed (Simplified)'!H85</f>
        <v>3.0750000000000002</v>
      </c>
      <c r="H76" s="106">
        <v>1</v>
      </c>
      <c r="I76" s="117">
        <f t="shared" si="8"/>
        <v>2.0750000000000002</v>
      </c>
      <c r="K76" s="108">
        <f>'Inst. Support '!D84</f>
        <v>7.6269428571428568</v>
      </c>
      <c r="L76" s="106">
        <v>4.5</v>
      </c>
      <c r="M76" s="117">
        <f t="shared" si="9"/>
        <v>3.1269428571428568</v>
      </c>
      <c r="O76" s="108">
        <f>'Inst. Support '!G84</f>
        <v>3.8969781021897809</v>
      </c>
      <c r="P76" s="106">
        <v>4</v>
      </c>
      <c r="Q76" s="117">
        <f t="shared" si="10"/>
        <v>-0.10302189781021909</v>
      </c>
      <c r="S76" s="108">
        <f>'Inst. Support '!K84</f>
        <v>1.1811637168141593</v>
      </c>
      <c r="T76" s="106">
        <v>2</v>
      </c>
      <c r="U76" s="117">
        <f t="shared" si="11"/>
        <v>-0.81883628318584067</v>
      </c>
      <c r="W76" s="108">
        <f>'Sch Admin'!D85</f>
        <v>11.453405881066749</v>
      </c>
      <c r="X76" s="106">
        <v>12</v>
      </c>
      <c r="Y76" s="117">
        <f t="shared" si="12"/>
        <v>-0.54659411893325149</v>
      </c>
    </row>
    <row r="77" spans="1:25" x14ac:dyDescent="0.25">
      <c r="A77" s="123" t="s">
        <v>75</v>
      </c>
      <c r="B77" s="111">
        <v>8533.4500000000007</v>
      </c>
      <c r="C77" s="78">
        <f>SUM('K '!L86,'1-3 '!J86,'4-6'!J86,'7-8 '!J86,'9-12 '!J86,'Special Ed (Simplified)'!I86)</f>
        <v>527.91610415828268</v>
      </c>
      <c r="D77" s="54">
        <v>536.73000000000013</v>
      </c>
      <c r="E77" s="110">
        <f t="shared" si="7"/>
        <v>-8.8138958417174535</v>
      </c>
      <c r="F77" s="417"/>
      <c r="G77" s="108">
        <f>'Special Ed (Simplified)'!H86</f>
        <v>9.4916666666666671</v>
      </c>
      <c r="H77" s="106">
        <v>6.5</v>
      </c>
      <c r="I77" s="117">
        <f t="shared" si="8"/>
        <v>2.9916666666666671</v>
      </c>
      <c r="K77" s="108">
        <f>'Inst. Support '!D85</f>
        <v>24.381285714285717</v>
      </c>
      <c r="L77" s="106">
        <v>19.89</v>
      </c>
      <c r="M77" s="117">
        <f t="shared" si="9"/>
        <v>4.4912857142857163</v>
      </c>
      <c r="O77" s="108">
        <f>'Inst. Support '!G85</f>
        <v>12.457591240875914</v>
      </c>
      <c r="P77" s="106">
        <v>11.99</v>
      </c>
      <c r="Q77" s="117">
        <f t="shared" si="10"/>
        <v>0.46759124087591353</v>
      </c>
      <c r="S77" s="108">
        <f>'Inst. Support '!K85</f>
        <v>3.7758628318584075</v>
      </c>
      <c r="T77" s="106">
        <v>2</v>
      </c>
      <c r="U77" s="117">
        <f t="shared" si="11"/>
        <v>1.7758628318584075</v>
      </c>
      <c r="W77" s="108">
        <f>'Sch Admin'!D86</f>
        <v>35.194406943885511</v>
      </c>
      <c r="X77" s="106">
        <v>33</v>
      </c>
      <c r="Y77" s="117">
        <f t="shared" si="12"/>
        <v>2.1944069438855109</v>
      </c>
    </row>
    <row r="78" spans="1:25" x14ac:dyDescent="0.25">
      <c r="A78" s="123" t="s">
        <v>76</v>
      </c>
      <c r="B78" s="111">
        <v>10966.62</v>
      </c>
      <c r="C78" s="78">
        <f>SUM('K '!L87,'1-3 '!J87,'4-6'!J87,'7-8 '!J87,'9-12 '!J87,'Special Ed (Simplified)'!I87)</f>
        <v>705.36064812289908</v>
      </c>
      <c r="D78" s="54">
        <v>660.4</v>
      </c>
      <c r="E78" s="110">
        <f t="shared" si="7"/>
        <v>44.960648122899102</v>
      </c>
      <c r="F78" s="417"/>
      <c r="G78" s="108">
        <f>'Special Ed (Simplified)'!H87</f>
        <v>13.341666666666667</v>
      </c>
      <c r="H78" s="106">
        <v>11.620000000000001</v>
      </c>
      <c r="I78" s="117">
        <f t="shared" si="8"/>
        <v>1.7216666666666658</v>
      </c>
      <c r="K78" s="108">
        <f>'Inst. Support '!D86</f>
        <v>31.333200000000001</v>
      </c>
      <c r="L78" s="106">
        <v>25.69</v>
      </c>
      <c r="M78" s="117">
        <f t="shared" si="9"/>
        <v>5.6432000000000002</v>
      </c>
      <c r="O78" s="108">
        <f>'Inst. Support '!G86</f>
        <v>16.009664233576643</v>
      </c>
      <c r="P78" s="106">
        <v>15</v>
      </c>
      <c r="Q78" s="117">
        <f t="shared" si="10"/>
        <v>1.0096642335766433</v>
      </c>
      <c r="S78" s="108">
        <f>'Inst. Support '!K86</f>
        <v>4.8524867256637174</v>
      </c>
      <c r="T78" s="106">
        <v>9.11</v>
      </c>
      <c r="U78" s="117">
        <f t="shared" si="11"/>
        <v>-4.257513274336282</v>
      </c>
      <c r="W78" s="108">
        <f>'Sch Admin'!D87</f>
        <v>47.02404320819327</v>
      </c>
      <c r="X78" s="106">
        <v>47</v>
      </c>
      <c r="Y78" s="117">
        <f t="shared" si="12"/>
        <v>2.404320819326955E-2</v>
      </c>
    </row>
    <row r="79" spans="1:25" x14ac:dyDescent="0.25">
      <c r="A79" s="123" t="s">
        <v>77</v>
      </c>
      <c r="B79" s="111">
        <v>7107.44</v>
      </c>
      <c r="C79" s="78">
        <f>SUM('K '!L88,'1-3 '!J88,'4-6'!J88,'7-8 '!J88,'9-12 '!J88,'Special Ed (Simplified)'!I88)</f>
        <v>450.67485560559646</v>
      </c>
      <c r="D79" s="54">
        <v>593.2800000000002</v>
      </c>
      <c r="E79" s="110">
        <f t="shared" si="7"/>
        <v>-142.60514439440374</v>
      </c>
      <c r="F79" s="417"/>
      <c r="G79" s="108">
        <f>'Special Ed (Simplified)'!H88</f>
        <v>6.7666666666666666</v>
      </c>
      <c r="H79" s="106">
        <v>6.8999999999999995</v>
      </c>
      <c r="I79" s="117">
        <f t="shared" si="8"/>
        <v>-0.13333333333333286</v>
      </c>
      <c r="K79" s="108">
        <f>'Inst. Support '!D87</f>
        <v>20.306971428571426</v>
      </c>
      <c r="L79" s="106">
        <v>28.080000000000002</v>
      </c>
      <c r="M79" s="117">
        <f t="shared" si="9"/>
        <v>-7.7730285714285756</v>
      </c>
      <c r="O79" s="108">
        <f>'Inst. Support '!G87</f>
        <v>10.375824817518248</v>
      </c>
      <c r="P79" s="106">
        <v>11.89</v>
      </c>
      <c r="Q79" s="117">
        <f t="shared" si="10"/>
        <v>-1.5141751824817522</v>
      </c>
      <c r="S79" s="108">
        <f>'Inst. Support '!K87</f>
        <v>3.1448849557522123</v>
      </c>
      <c r="T79" s="106">
        <v>1</v>
      </c>
      <c r="U79" s="117">
        <f t="shared" si="11"/>
        <v>2.1448849557522123</v>
      </c>
      <c r="W79" s="108">
        <f>'Sch Admin'!D88</f>
        <v>30.04499037370643</v>
      </c>
      <c r="X79" s="106">
        <v>41</v>
      </c>
      <c r="Y79" s="117">
        <f t="shared" si="12"/>
        <v>-10.95500962629357</v>
      </c>
    </row>
    <row r="80" spans="1:25" x14ac:dyDescent="0.25">
      <c r="A80" s="123" t="s">
        <v>78</v>
      </c>
      <c r="B80" s="111">
        <v>15888.61</v>
      </c>
      <c r="C80" s="78">
        <f>SUM('K '!L89,'1-3 '!J89,'4-6'!J89,'7-8 '!J89,'9-12 '!J89,'Special Ed (Simplified)'!I89)</f>
        <v>1040.2071470481424</v>
      </c>
      <c r="D80" s="54">
        <v>871.49000000000012</v>
      </c>
      <c r="E80" s="110">
        <f t="shared" si="7"/>
        <v>168.71714704814224</v>
      </c>
      <c r="F80" s="417"/>
      <c r="G80" s="108">
        <f>'Special Ed (Simplified)'!H89</f>
        <v>19.566666666666666</v>
      </c>
      <c r="H80" s="106">
        <v>9.8899999999999988</v>
      </c>
      <c r="I80" s="117">
        <f t="shared" si="8"/>
        <v>9.6766666666666676</v>
      </c>
      <c r="K80" s="108">
        <f>'Inst. Support '!D88</f>
        <v>45.396028571428573</v>
      </c>
      <c r="L80" s="106">
        <v>44</v>
      </c>
      <c r="M80" s="117">
        <f t="shared" si="9"/>
        <v>1.3960285714285732</v>
      </c>
      <c r="O80" s="108">
        <f>'Inst. Support '!G88</f>
        <v>23.195051094890513</v>
      </c>
      <c r="P80" s="106">
        <v>18</v>
      </c>
      <c r="Q80" s="117">
        <f t="shared" si="10"/>
        <v>5.1950510948905126</v>
      </c>
      <c r="S80" s="108">
        <f>'Inst. Support '!K88</f>
        <v>7.0303584070796461</v>
      </c>
      <c r="T80" s="106">
        <v>15</v>
      </c>
      <c r="U80" s="117">
        <f t="shared" si="11"/>
        <v>-7.9696415929203539</v>
      </c>
      <c r="W80" s="108">
        <f>'Sch Admin'!D89</f>
        <v>69.347143136542826</v>
      </c>
      <c r="X80" s="106">
        <v>68</v>
      </c>
      <c r="Y80" s="117">
        <f t="shared" si="12"/>
        <v>1.3471431365428259</v>
      </c>
    </row>
    <row r="81" spans="1:25" x14ac:dyDescent="0.25">
      <c r="A81" s="123" t="s">
        <v>79</v>
      </c>
      <c r="B81" s="111">
        <v>3787.02</v>
      </c>
      <c r="C81" s="78">
        <f>SUM('K '!L90,'1-3 '!J90,'4-6'!J90,'7-8 '!J90,'9-12 '!J90,'Special Ed (Simplified)'!I90)</f>
        <v>250.70103599683736</v>
      </c>
      <c r="D81" s="54">
        <v>234.76999999999998</v>
      </c>
      <c r="E81" s="110">
        <f t="shared" si="7"/>
        <v>15.93103599683738</v>
      </c>
      <c r="F81" s="417"/>
      <c r="G81" s="108">
        <f>'Special Ed (Simplified)'!H90</f>
        <v>4.6749999999999998</v>
      </c>
      <c r="H81" s="106">
        <v>0.5</v>
      </c>
      <c r="I81" s="117">
        <f t="shared" si="8"/>
        <v>4.1749999999999998</v>
      </c>
      <c r="K81" s="108">
        <f>'Inst. Support '!D89</f>
        <v>10.820057142857143</v>
      </c>
      <c r="L81" s="106">
        <v>11</v>
      </c>
      <c r="M81" s="117">
        <f t="shared" si="9"/>
        <v>-0.17994285714285674</v>
      </c>
      <c r="O81" s="108">
        <f>'Inst. Support '!G89</f>
        <v>5.5284963503649633</v>
      </c>
      <c r="P81" s="106">
        <v>5</v>
      </c>
      <c r="Q81" s="117">
        <f t="shared" si="10"/>
        <v>0.52849635036496334</v>
      </c>
      <c r="S81" s="108">
        <f>'Inst. Support '!K89</f>
        <v>1.6756725663716814</v>
      </c>
      <c r="T81" s="106">
        <v>3</v>
      </c>
      <c r="U81" s="117">
        <f t="shared" si="11"/>
        <v>-1.3243274336283186</v>
      </c>
      <c r="W81" s="108">
        <f>'Sch Admin'!D90</f>
        <v>16.713402399789157</v>
      </c>
      <c r="X81" s="106">
        <v>17</v>
      </c>
      <c r="Y81" s="117">
        <f t="shared" si="12"/>
        <v>-0.28659760021084324</v>
      </c>
    </row>
    <row r="82" spans="1:25" x14ac:dyDescent="0.25">
      <c r="A82" s="123" t="s">
        <v>80</v>
      </c>
      <c r="B82" s="111">
        <v>3426.1</v>
      </c>
      <c r="C82" s="78">
        <f>SUM('K '!L91,'1-3 '!J91,'4-6'!J91,'7-8 '!J91,'9-12 '!J91,'Special Ed (Simplified)'!I91)</f>
        <v>237.62264433700483</v>
      </c>
      <c r="D82" s="54">
        <v>195.32000000000002</v>
      </c>
      <c r="E82" s="110">
        <f t="shared" si="7"/>
        <v>42.302644337004807</v>
      </c>
      <c r="F82" s="417"/>
      <c r="G82" s="108">
        <f>'Special Ed (Simplified)'!H91</f>
        <v>4.7333333333333334</v>
      </c>
      <c r="H82" s="106">
        <v>0</v>
      </c>
      <c r="I82" s="117">
        <f t="shared" si="8"/>
        <v>4.7333333333333334</v>
      </c>
      <c r="K82" s="108">
        <f>'Inst. Support '!D90</f>
        <v>9.7888571428571431</v>
      </c>
      <c r="L82" s="106">
        <v>11</v>
      </c>
      <c r="M82" s="117">
        <f t="shared" si="9"/>
        <v>-1.2111428571428569</v>
      </c>
      <c r="O82" s="108">
        <f>'Inst. Support '!G90</f>
        <v>5.0016058394160581</v>
      </c>
      <c r="P82" s="106">
        <v>7.81</v>
      </c>
      <c r="Q82" s="117">
        <f t="shared" si="10"/>
        <v>-2.8083941605839415</v>
      </c>
      <c r="S82" s="108">
        <f>'Inst. Support '!K90</f>
        <v>1.5159734513274337</v>
      </c>
      <c r="T82" s="106">
        <v>0</v>
      </c>
      <c r="U82" s="117">
        <f t="shared" si="11"/>
        <v>1.5159734513274337</v>
      </c>
      <c r="W82" s="108">
        <f>'Sch Admin'!D91</f>
        <v>15.841509622466988</v>
      </c>
      <c r="X82" s="106">
        <v>21</v>
      </c>
      <c r="Y82" s="117">
        <f t="shared" si="12"/>
        <v>-5.1584903775330115</v>
      </c>
    </row>
    <row r="83" spans="1:25" x14ac:dyDescent="0.25">
      <c r="A83" s="123" t="s">
        <v>81</v>
      </c>
      <c r="B83" s="111">
        <v>4956.4399999999996</v>
      </c>
      <c r="C83" s="78">
        <f>SUM('K '!L92,'1-3 '!J92,'4-6'!J92,'7-8 '!J92,'9-12 '!J92,'Special Ed (Simplified)'!I92)</f>
        <v>327.56641375436897</v>
      </c>
      <c r="D83" s="54">
        <v>319.42</v>
      </c>
      <c r="E83" s="110">
        <f t="shared" si="7"/>
        <v>8.1464137543689503</v>
      </c>
      <c r="F83" s="417"/>
      <c r="G83" s="108">
        <f>'Special Ed (Simplified)'!H92</f>
        <v>7.1583333333333332</v>
      </c>
      <c r="H83" s="106">
        <v>5.01</v>
      </c>
      <c r="I83" s="117">
        <f t="shared" si="8"/>
        <v>2.1483333333333334</v>
      </c>
      <c r="K83" s="108">
        <f>'Inst. Support '!D91</f>
        <v>14.161257142857142</v>
      </c>
      <c r="L83" s="106">
        <v>13.3</v>
      </c>
      <c r="M83" s="117">
        <f t="shared" si="9"/>
        <v>0.86125714285714139</v>
      </c>
      <c r="O83" s="108">
        <f>'Inst. Support '!G91</f>
        <v>7.235678832116788</v>
      </c>
      <c r="P83" s="106">
        <v>7.36</v>
      </c>
      <c r="Q83" s="117">
        <f t="shared" si="10"/>
        <v>-0.12432116788321235</v>
      </c>
      <c r="S83" s="108">
        <f>'Inst. Support '!K91</f>
        <v>2.1931150442477874</v>
      </c>
      <c r="T83" s="106">
        <v>1.52</v>
      </c>
      <c r="U83" s="117">
        <f t="shared" si="11"/>
        <v>0.67311504424778734</v>
      </c>
      <c r="W83" s="108">
        <f>'Sch Admin'!D92</f>
        <v>21.837760916957929</v>
      </c>
      <c r="X83" s="106">
        <v>22</v>
      </c>
      <c r="Y83" s="117">
        <f t="shared" si="12"/>
        <v>-0.16223908304207058</v>
      </c>
    </row>
    <row r="84" spans="1:25" x14ac:dyDescent="0.25">
      <c r="A84" s="123" t="s">
        <v>82</v>
      </c>
      <c r="B84" s="111">
        <v>7694.47</v>
      </c>
      <c r="C84" s="78">
        <f>SUM('K '!L93,'1-3 '!J93,'4-6'!J93,'7-8 '!J93,'9-12 '!J93,'Special Ed (Simplified)'!I93)</f>
        <v>435.58791545790911</v>
      </c>
      <c r="D84" s="54">
        <v>524.23</v>
      </c>
      <c r="E84" s="110">
        <f t="shared" si="7"/>
        <v>-88.642084542090913</v>
      </c>
      <c r="F84" s="417"/>
      <c r="G84" s="108">
        <f>'Special Ed (Simplified)'!H93</f>
        <v>5.4833333333333334</v>
      </c>
      <c r="H84" s="106">
        <v>6.9</v>
      </c>
      <c r="I84" s="117">
        <f t="shared" si="8"/>
        <v>-1.416666666666667</v>
      </c>
      <c r="K84" s="108">
        <f>'Inst. Support '!D92</f>
        <v>21.984200000000001</v>
      </c>
      <c r="L84" s="106">
        <v>23</v>
      </c>
      <c r="M84" s="117">
        <f t="shared" si="9"/>
        <v>-1.0157999999999987</v>
      </c>
      <c r="O84" s="108">
        <f>'Inst. Support '!G92</f>
        <v>11.23280291970803</v>
      </c>
      <c r="P84" s="106">
        <v>10</v>
      </c>
      <c r="Q84" s="117">
        <f t="shared" si="10"/>
        <v>1.2328029197080301</v>
      </c>
      <c r="S84" s="108">
        <f>'Inst. Support '!K92</f>
        <v>3.4046327433628321</v>
      </c>
      <c r="T84" s="106">
        <v>0</v>
      </c>
      <c r="U84" s="117">
        <f t="shared" si="11"/>
        <v>3.4046327433628321</v>
      </c>
      <c r="W84" s="108">
        <f>'Sch Admin'!D93</f>
        <v>29.039194363860606</v>
      </c>
      <c r="X84" s="106">
        <v>29</v>
      </c>
      <c r="Y84" s="117">
        <f t="shared" si="12"/>
        <v>3.9194363860605819E-2</v>
      </c>
    </row>
    <row r="85" spans="1:25" x14ac:dyDescent="0.25">
      <c r="A85" s="123" t="s">
        <v>83</v>
      </c>
      <c r="B85" s="111">
        <v>17132.009999999998</v>
      </c>
      <c r="C85" s="78">
        <f>SUM('K '!L94,'1-3 '!J94,'4-6'!J94,'7-8 '!J94,'9-12 '!J94,'Special Ed (Simplified)'!I94)</f>
        <v>1083.5972663776447</v>
      </c>
      <c r="D85" s="54">
        <v>1084.1900000000007</v>
      </c>
      <c r="E85" s="110">
        <f t="shared" si="7"/>
        <v>-0.59273362235603599</v>
      </c>
      <c r="F85" s="417"/>
      <c r="G85" s="108">
        <f>'Special Ed (Simplified)'!H94</f>
        <v>20.166666666666668</v>
      </c>
      <c r="H85" s="106">
        <v>17.88</v>
      </c>
      <c r="I85" s="117">
        <f t="shared" si="8"/>
        <v>2.2866666666666688</v>
      </c>
      <c r="K85" s="108">
        <f>'Inst. Support '!D93</f>
        <v>48.948599999999992</v>
      </c>
      <c r="L85" s="106">
        <v>54.88</v>
      </c>
      <c r="M85" s="117">
        <f t="shared" si="9"/>
        <v>-5.9314000000000107</v>
      </c>
      <c r="O85" s="108">
        <f>'Inst. Support '!G93</f>
        <v>25.010233576642335</v>
      </c>
      <c r="P85" s="106">
        <v>23.55</v>
      </c>
      <c r="Q85" s="117">
        <f t="shared" si="10"/>
        <v>1.4602335766423344</v>
      </c>
      <c r="S85" s="108">
        <f>'Inst. Support '!K93</f>
        <v>7.5805353982300874</v>
      </c>
      <c r="T85" s="106">
        <v>1</v>
      </c>
      <c r="U85" s="117">
        <f t="shared" si="11"/>
        <v>6.5805353982300874</v>
      </c>
      <c r="W85" s="108">
        <f>'Sch Admin'!D94</f>
        <v>72.239817758509645</v>
      </c>
      <c r="X85" s="106">
        <v>70</v>
      </c>
      <c r="Y85" s="117">
        <f t="shared" si="12"/>
        <v>2.2398177585096448</v>
      </c>
    </row>
    <row r="86" spans="1:25" x14ac:dyDescent="0.25">
      <c r="A86" s="123" t="s">
        <v>84</v>
      </c>
      <c r="B86" s="111">
        <v>15937.31</v>
      </c>
      <c r="C86" s="78">
        <f>SUM('K '!L95,'1-3 '!J95,'4-6'!J95,'7-8 '!J95,'9-12 '!J95,'Special Ed (Simplified)'!I95)</f>
        <v>866.56061645246393</v>
      </c>
      <c r="D86" s="54">
        <v>990.08000000000015</v>
      </c>
      <c r="E86" s="110">
        <f t="shared" si="7"/>
        <v>-123.51938354753622</v>
      </c>
      <c r="F86" s="417"/>
      <c r="G86" s="108">
        <f>'Special Ed (Simplified)'!H95</f>
        <v>11.358333333333333</v>
      </c>
      <c r="H86" s="106">
        <v>22.150000000000002</v>
      </c>
      <c r="I86" s="117">
        <f t="shared" si="8"/>
        <v>-10.79166666666667</v>
      </c>
      <c r="K86" s="108">
        <f>'Inst. Support '!D94</f>
        <v>45.535171428571424</v>
      </c>
      <c r="L86" s="106">
        <v>42.49</v>
      </c>
      <c r="M86" s="117">
        <f t="shared" si="9"/>
        <v>3.0451714285714218</v>
      </c>
      <c r="O86" s="108">
        <f>'Inst. Support '!G94</f>
        <v>23.266145985401458</v>
      </c>
      <c r="P86" s="106">
        <v>15.77</v>
      </c>
      <c r="Q86" s="117">
        <f t="shared" si="10"/>
        <v>7.4961459854014585</v>
      </c>
      <c r="S86" s="108">
        <f>'Inst. Support '!K94</f>
        <v>7.0519070796460177</v>
      </c>
      <c r="T86" s="106">
        <v>2.6</v>
      </c>
      <c r="U86" s="117">
        <f t="shared" si="11"/>
        <v>4.4519070796460181</v>
      </c>
      <c r="W86" s="108">
        <f>'Sch Admin'!D95</f>
        <v>57.770707763497597</v>
      </c>
      <c r="X86" s="106">
        <v>57</v>
      </c>
      <c r="Y86" s="117">
        <f t="shared" si="12"/>
        <v>0.7707077634975974</v>
      </c>
    </row>
    <row r="87" spans="1:25" s="3" customFormat="1" ht="15.75" thickBot="1" x14ac:dyDescent="0.3">
      <c r="A87" s="15" t="s">
        <v>312</v>
      </c>
      <c r="B87" s="112">
        <v>721122.25</v>
      </c>
      <c r="C87" s="101">
        <f>SUM('K '!L96,'1-3 '!J96,'4-6'!J96,'7-8 '!J96,'9-12 '!J96,'Special Ed (Simplified)'!I96)</f>
        <v>45241.326238311369</v>
      </c>
      <c r="D87" s="59">
        <f>SUM(D6:D86)</f>
        <v>45276.77</v>
      </c>
      <c r="E87" s="826">
        <f>SUM(E6:E86)</f>
        <v>-35.443761688632065</v>
      </c>
      <c r="G87" s="109">
        <f>SUM(G6:G86)</f>
        <v>776.44166666666672</v>
      </c>
      <c r="H87" s="116">
        <f>SUM(H6:H86)</f>
        <v>536.51999999999987</v>
      </c>
      <c r="I87" s="118">
        <f>SUM(I6:I86)</f>
        <v>239.92166666666662</v>
      </c>
      <c r="K87" s="109">
        <f>SUM(K6:K86)</f>
        <v>2060.349285714286</v>
      </c>
      <c r="L87" s="116">
        <f>SUM(L6:L86)</f>
        <v>2070.62</v>
      </c>
      <c r="M87" s="118">
        <f>SUM(M6:M86)</f>
        <v>-10.270714285714243</v>
      </c>
      <c r="O87" s="109">
        <f>SUM(O6:O86)</f>
        <v>1052.7332116788316</v>
      </c>
      <c r="P87" s="116">
        <f>SUM(P6:P86)</f>
        <v>1049.71</v>
      </c>
      <c r="Q87" s="118">
        <f t="shared" si="10"/>
        <v>3.0232116788315579</v>
      </c>
      <c r="S87" s="109">
        <f>SUM(S14:S86)</f>
        <v>293.16013274336296</v>
      </c>
      <c r="T87" s="116">
        <f>SUM(T6:T86)</f>
        <v>293.16000000000008</v>
      </c>
      <c r="U87" s="118">
        <f>S87-T87</f>
        <v>1.3274336288304767E-4</v>
      </c>
      <c r="W87" s="109">
        <f>SUM(W6:W86)</f>
        <v>3016.0884158874242</v>
      </c>
      <c r="X87" s="116">
        <v>3021</v>
      </c>
      <c r="Y87" s="118">
        <f>W87-X87</f>
        <v>-4.9115841125758379</v>
      </c>
    </row>
    <row r="88" spans="1:25" x14ac:dyDescent="0.25">
      <c r="C88" s="86"/>
      <c r="E88" s="290"/>
    </row>
    <row r="89" spans="1:25" x14ac:dyDescent="0.25">
      <c r="C89" s="68"/>
      <c r="D89" s="416"/>
      <c r="I89" s="293"/>
    </row>
    <row r="90" spans="1:25" x14ac:dyDescent="0.25">
      <c r="A90" t="s">
        <v>579</v>
      </c>
      <c r="C90" s="67"/>
    </row>
    <row r="91" spans="1:25" x14ac:dyDescent="0.25">
      <c r="A91" t="s">
        <v>689</v>
      </c>
    </row>
    <row r="92" spans="1:25" x14ac:dyDescent="0.25">
      <c r="A92" t="s">
        <v>687</v>
      </c>
    </row>
  </sheetData>
  <mergeCells count="6">
    <mergeCell ref="W3:Y3"/>
    <mergeCell ref="G3:I3"/>
    <mergeCell ref="K3:M3"/>
    <mergeCell ref="O3:Q3"/>
    <mergeCell ref="C3:E3"/>
    <mergeCell ref="S3:U3"/>
  </mergeCells>
  <printOptions horizontalCentered="1"/>
  <pageMargins left="0.5" right="0.5" top="0.5" bottom="0.5" header="0.3" footer="0.3"/>
  <pageSetup paperSize="5" scale="70" fitToHeight="2" orientation="landscape" r:id="rId1"/>
  <headerFooter>
    <oddHeader>&amp;R&amp;"-,Bold"Staff Table Page &amp;P</oddHeader>
  </headerFooter>
  <rowBreaks count="2" manualBreakCount="2">
    <brk id="42" max="24" man="1"/>
    <brk id="87" max="24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pageSetUpPr fitToPage="1"/>
  </sheetPr>
  <dimension ref="A1:S92"/>
  <sheetViews>
    <sheetView zoomScaleNormal="100" zoomScalePageLayoutView="85" workbookViewId="0">
      <selection activeCell="A2" sqref="A2"/>
    </sheetView>
  </sheetViews>
  <sheetFormatPr defaultRowHeight="15" x14ac:dyDescent="0.25"/>
  <cols>
    <col min="1" max="1" width="17.28515625" bestFit="1" customWidth="1"/>
    <col min="2" max="2" width="10.85546875" bestFit="1" customWidth="1"/>
    <col min="3" max="3" width="10.85546875" style="72" bestFit="1" customWidth="1"/>
    <col min="4" max="4" width="14.42578125" bestFit="1" customWidth="1"/>
    <col min="5" max="5" width="15.140625" bestFit="1" customWidth="1"/>
    <col min="6" max="6" width="15" bestFit="1" customWidth="1"/>
    <col min="7" max="7" width="14.42578125" style="38" bestFit="1" customWidth="1"/>
    <col min="8" max="8" width="15.28515625" customWidth="1"/>
    <col min="9" max="9" width="16.42578125" bestFit="1" customWidth="1"/>
    <col min="10" max="10" width="14" bestFit="1" customWidth="1"/>
    <col min="11" max="11" width="12.85546875" bestFit="1" customWidth="1"/>
    <col min="12" max="12" width="2.85546875" customWidth="1"/>
    <col min="13" max="13" width="17.28515625" bestFit="1" customWidth="1"/>
    <col min="14" max="14" width="15.85546875" bestFit="1" customWidth="1"/>
    <col min="15" max="15" width="15.85546875" customWidth="1"/>
    <col min="16" max="16" width="2.85546875" bestFit="1" customWidth="1"/>
    <col min="17" max="17" width="13.7109375" bestFit="1" customWidth="1"/>
    <col min="18" max="18" width="2.85546875" bestFit="1" customWidth="1"/>
    <col min="19" max="19" width="13.140625" bestFit="1" customWidth="1"/>
  </cols>
  <sheetData>
    <row r="1" spans="1:19" ht="24" thickBot="1" x14ac:dyDescent="0.4">
      <c r="A1" s="4" t="s">
        <v>690</v>
      </c>
      <c r="B1" s="4"/>
      <c r="C1" s="71"/>
      <c r="I1" s="202"/>
      <c r="J1" s="202"/>
    </row>
    <row r="2" spans="1:19" ht="15.75" thickBot="1" x14ac:dyDescent="0.3">
      <c r="D2" s="919" t="s">
        <v>214</v>
      </c>
      <c r="E2" s="920"/>
      <c r="F2" s="920"/>
      <c r="G2" s="920"/>
      <c r="H2" s="920"/>
      <c r="I2" s="920"/>
      <c r="J2" s="920"/>
      <c r="K2" s="921"/>
    </row>
    <row r="3" spans="1:19" ht="15.75" thickBot="1" x14ac:dyDescent="0.3">
      <c r="D3" s="919" t="s">
        <v>601</v>
      </c>
      <c r="E3" s="920"/>
      <c r="F3" s="920"/>
      <c r="G3" s="920"/>
      <c r="H3" s="919" t="s">
        <v>664</v>
      </c>
      <c r="I3" s="920"/>
      <c r="J3" s="920"/>
      <c r="K3" s="921"/>
      <c r="M3" s="919" t="s">
        <v>584</v>
      </c>
      <c r="N3" s="920"/>
      <c r="O3" s="921"/>
    </row>
    <row r="4" spans="1:19" s="3" customFormat="1" ht="45.75" thickBot="1" x14ac:dyDescent="0.3">
      <c r="A4" s="744" t="s">
        <v>0</v>
      </c>
      <c r="B4" s="199" t="s">
        <v>86</v>
      </c>
      <c r="C4" s="745" t="s">
        <v>200</v>
      </c>
      <c r="D4" s="199" t="s">
        <v>166</v>
      </c>
      <c r="E4" s="199" t="s">
        <v>167</v>
      </c>
      <c r="F4" s="199" t="s">
        <v>168</v>
      </c>
      <c r="G4" s="166" t="s">
        <v>99</v>
      </c>
      <c r="H4" s="103" t="s">
        <v>207</v>
      </c>
      <c r="I4" s="104" t="s">
        <v>208</v>
      </c>
      <c r="J4" s="104" t="s">
        <v>209</v>
      </c>
      <c r="K4" s="198" t="s">
        <v>698</v>
      </c>
      <c r="M4" s="103" t="s">
        <v>559</v>
      </c>
      <c r="N4" s="199" t="s">
        <v>560</v>
      </c>
      <c r="O4" s="199" t="s">
        <v>91</v>
      </c>
      <c r="P4" s="529"/>
      <c r="Q4" s="104" t="s">
        <v>561</v>
      </c>
      <c r="R4" s="199"/>
      <c r="S4" s="198" t="s">
        <v>710</v>
      </c>
    </row>
    <row r="5" spans="1:19" s="3" customFormat="1" ht="15.75" thickBot="1" x14ac:dyDescent="0.3">
      <c r="A5" s="746" t="s">
        <v>715</v>
      </c>
      <c r="B5" s="747" t="s">
        <v>716</v>
      </c>
      <c r="C5" s="748" t="s">
        <v>717</v>
      </c>
      <c r="D5" s="755" t="s">
        <v>718</v>
      </c>
      <c r="E5" s="755" t="s">
        <v>719</v>
      </c>
      <c r="F5" s="755" t="s">
        <v>720</v>
      </c>
      <c r="G5" s="749" t="s">
        <v>721</v>
      </c>
      <c r="H5" s="756" t="s">
        <v>722</v>
      </c>
      <c r="I5" s="755" t="s">
        <v>723</v>
      </c>
      <c r="J5" s="752" t="s">
        <v>724</v>
      </c>
      <c r="K5" s="753" t="s">
        <v>725</v>
      </c>
      <c r="M5" s="756" t="s">
        <v>726</v>
      </c>
      <c r="N5" s="755" t="s">
        <v>727</v>
      </c>
      <c r="O5" s="752" t="s">
        <v>728</v>
      </c>
      <c r="P5" s="754"/>
      <c r="Q5" s="752" t="s">
        <v>729</v>
      </c>
      <c r="R5" s="754"/>
      <c r="S5" s="753" t="s">
        <v>730</v>
      </c>
    </row>
    <row r="6" spans="1:19" s="3" customFormat="1" ht="15.75" thickBot="1" x14ac:dyDescent="0.3">
      <c r="A6" s="135"/>
      <c r="B6" s="171"/>
      <c r="C6" s="172"/>
      <c r="D6" s="173"/>
      <c r="E6" s="174"/>
      <c r="F6" s="174"/>
      <c r="G6" s="175"/>
      <c r="H6" s="285">
        <f>1-I6</f>
        <v>0.2248005354</v>
      </c>
      <c r="I6" s="286">
        <v>0.7751994646</v>
      </c>
      <c r="J6" s="176"/>
      <c r="K6" s="149"/>
      <c r="L6" s="159"/>
      <c r="M6" s="177"/>
      <c r="N6" s="178"/>
      <c r="O6" s="179"/>
      <c r="P6" s="425"/>
      <c r="Q6" s="179"/>
      <c r="R6" s="425"/>
      <c r="S6" s="149"/>
    </row>
    <row r="7" spans="1:19" x14ac:dyDescent="0.25">
      <c r="A7" s="167" t="s">
        <v>4</v>
      </c>
      <c r="B7" s="93">
        <v>2915.96</v>
      </c>
      <c r="C7" s="168">
        <v>2.4085764206051687E-3</v>
      </c>
      <c r="D7" s="136">
        <f>'Total Inst. Cost'!G5</f>
        <v>17451819.025048982</v>
      </c>
      <c r="E7" s="137">
        <f>Facilities!J15</f>
        <v>4116542.972948039</v>
      </c>
      <c r="F7" s="138">
        <f>'District Services'!K14</f>
        <v>1236460.9204746105</v>
      </c>
      <c r="G7" s="139">
        <f>SUM(D7:F7)</f>
        <v>22804822.918471634</v>
      </c>
      <c r="H7" s="468">
        <f>C7*($G$88*$H$6)</f>
        <v>2957246.4657962164</v>
      </c>
      <c r="I7" s="447">
        <f>G7-H7</f>
        <v>19847576.452675417</v>
      </c>
      <c r="J7" s="169">
        <f>I7/G7</f>
        <v>0.87032363827737147</v>
      </c>
      <c r="K7" s="170">
        <f>H7/ITA!B5*1000</f>
        <v>74.990560796331266</v>
      </c>
      <c r="M7" s="459">
        <f>'FY 19 State Pmt'!BL6</f>
        <v>13843357.630000006</v>
      </c>
      <c r="N7" s="460">
        <f>'Prop Tax'!K5</f>
        <v>4688008.4115861459</v>
      </c>
      <c r="O7" s="404">
        <f>M7+N7</f>
        <v>18531366.041586153</v>
      </c>
      <c r="P7" s="454"/>
      <c r="Q7" s="461">
        <f t="shared" ref="Q7:Q38" si="0">I7-O7</f>
        <v>1316210.4110892639</v>
      </c>
      <c r="R7" s="454"/>
      <c r="S7" s="628">
        <f>-Q7/ITA!B5*1000</f>
        <v>-33.376777348511759</v>
      </c>
    </row>
    <row r="8" spans="1:19" x14ac:dyDescent="0.25">
      <c r="A8" s="125" t="s">
        <v>5</v>
      </c>
      <c r="B8" s="126">
        <v>23246.81</v>
      </c>
      <c r="C8" s="127">
        <v>2.8012888782051496E-2</v>
      </c>
      <c r="D8" s="128">
        <f>'Total Inst. Cost'!G6</f>
        <v>138895821.26898709</v>
      </c>
      <c r="E8" s="129">
        <f>Facilities!J16</f>
        <v>32549340.349257912</v>
      </c>
      <c r="F8" s="130">
        <f>'District Services'!K15</f>
        <v>4204534.977216037</v>
      </c>
      <c r="G8" s="131">
        <f>SUM(D8:F8)</f>
        <v>175649696.59546104</v>
      </c>
      <c r="H8" s="469">
        <f t="shared" ref="H8:H71" si="1">C8*($G$88*$H$6)</f>
        <v>34394182.239253998</v>
      </c>
      <c r="I8" s="470">
        <f t="shared" ref="I8:I71" si="2">G8-H8</f>
        <v>141255514.35620704</v>
      </c>
      <c r="J8" s="132">
        <f t="shared" ref="J8:J71" si="3">I8/G8</f>
        <v>0.80418877512514431</v>
      </c>
      <c r="K8" s="134">
        <f>H8/ITA!B6*1000</f>
        <v>74.990560796331252</v>
      </c>
      <c r="L8" s="133"/>
      <c r="M8" s="462">
        <f>'FY 19 State Pmt'!BL7</f>
        <v>100301597.23999999</v>
      </c>
      <c r="N8" s="463">
        <f>'Prop Tax'!K6</f>
        <v>34301239.855596095</v>
      </c>
      <c r="O8" s="405">
        <f t="shared" ref="O8:O71" si="4">M8+N8</f>
        <v>134602837.09559608</v>
      </c>
      <c r="P8" s="455"/>
      <c r="Q8" s="181">
        <f t="shared" si="0"/>
        <v>6652677.2606109679</v>
      </c>
      <c r="R8" s="455"/>
      <c r="S8" s="627">
        <f>-Q8/ITA!B6*1000</f>
        <v>-14.505011199273044</v>
      </c>
    </row>
    <row r="9" spans="1:19" x14ac:dyDescent="0.25">
      <c r="A9" s="123" t="s">
        <v>6</v>
      </c>
      <c r="B9" s="47">
        <v>1028.55</v>
      </c>
      <c r="C9" s="73">
        <v>1.2550056023903104E-3</v>
      </c>
      <c r="D9" s="58">
        <f>'Total Inst. Cost'!G7</f>
        <v>6507619.5006696107</v>
      </c>
      <c r="E9" s="56">
        <f>Facilities!J17</f>
        <v>1509651.1383668971</v>
      </c>
      <c r="F9" s="55">
        <f>'District Services'!K16</f>
        <v>1158361.8245410377</v>
      </c>
      <c r="G9" s="287">
        <f>SUM(D9:F9)</f>
        <v>9175632.4635775462</v>
      </c>
      <c r="H9" s="471">
        <f t="shared" si="1"/>
        <v>1540893.9697627265</v>
      </c>
      <c r="I9" s="472">
        <f t="shared" si="2"/>
        <v>7634738.4938148195</v>
      </c>
      <c r="J9" s="79">
        <f t="shared" si="3"/>
        <v>0.8320667293639683</v>
      </c>
      <c r="K9" s="124">
        <f>H9/ITA!B7*1000</f>
        <v>74.990560796331266</v>
      </c>
      <c r="M9" s="464">
        <f>'FY 19 State Pmt'!BL8</f>
        <v>5482811.0600000015</v>
      </c>
      <c r="N9" s="465">
        <f>'Prop Tax'!K7</f>
        <v>3689322.6096002236</v>
      </c>
      <c r="O9" s="407">
        <f>M9+N9</f>
        <v>9172133.669600226</v>
      </c>
      <c r="P9" s="456"/>
      <c r="Q9" s="180">
        <f t="shared" si="0"/>
        <v>-1537395.1757854065</v>
      </c>
      <c r="R9" s="456"/>
      <c r="S9" s="628">
        <f>-Q9/ITA!B7*1000</f>
        <v>74.82028527600427</v>
      </c>
    </row>
    <row r="10" spans="1:19" x14ac:dyDescent="0.25">
      <c r="A10" s="125" t="s">
        <v>7</v>
      </c>
      <c r="B10" s="126">
        <v>9875.19</v>
      </c>
      <c r="C10" s="127">
        <v>7.5280630788636584E-3</v>
      </c>
      <c r="D10" s="128">
        <f>'Total Inst. Cost'!G8</f>
        <v>57334020.757144377</v>
      </c>
      <c r="E10" s="129">
        <f>Facilities!J18</f>
        <v>13489489.024875108</v>
      </c>
      <c r="F10" s="130">
        <f>'District Services'!K17</f>
        <v>2570120.165301017</v>
      </c>
      <c r="G10" s="131">
        <f>SUM(D10:F10)</f>
        <v>73393629.947320491</v>
      </c>
      <c r="H10" s="469">
        <f t="shared" si="1"/>
        <v>9242944.3981133867</v>
      </c>
      <c r="I10" s="470">
        <f t="shared" si="2"/>
        <v>64150685.549207106</v>
      </c>
      <c r="J10" s="132">
        <f t="shared" si="3"/>
        <v>0.87406339753534923</v>
      </c>
      <c r="K10" s="134">
        <f>H10/ITA!B8*1000</f>
        <v>74.990560796331266</v>
      </c>
      <c r="L10" s="133"/>
      <c r="M10" s="462">
        <f>'FY 19 State Pmt'!BL9</f>
        <v>45349949.480000004</v>
      </c>
      <c r="N10" s="463">
        <f>'Prop Tax'!K8</f>
        <v>12492899.559404787</v>
      </c>
      <c r="O10" s="405">
        <f t="shared" si="4"/>
        <v>57842849.039404795</v>
      </c>
      <c r="P10" s="455"/>
      <c r="Q10" s="181">
        <f t="shared" si="0"/>
        <v>6307836.5098023117</v>
      </c>
      <c r="R10" s="455"/>
      <c r="S10" s="627">
        <f>-Q10/ITA!B8*1000</f>
        <v>-51.177219823825816</v>
      </c>
    </row>
    <row r="11" spans="1:19" x14ac:dyDescent="0.25">
      <c r="A11" s="123" t="s">
        <v>8</v>
      </c>
      <c r="B11" s="47">
        <v>3618.89</v>
      </c>
      <c r="C11" s="73">
        <v>2.403114403844644E-3</v>
      </c>
      <c r="D11" s="136">
        <f>'Total Inst. Cost'!G9</f>
        <v>22183673.082758758</v>
      </c>
      <c r="E11" s="137">
        <f>Facilities!J19</f>
        <v>5126137.8278631568</v>
      </c>
      <c r="F11" s="138">
        <f>'District Services'!K18</f>
        <v>1267198.941009718</v>
      </c>
      <c r="G11" s="139">
        <f t="shared" ref="G11:G71" si="5">SUM(D11:F11)</f>
        <v>28577009.851631634</v>
      </c>
      <c r="H11" s="471">
        <f t="shared" si="1"/>
        <v>2950540.2099253219</v>
      </c>
      <c r="I11" s="472">
        <f t="shared" si="2"/>
        <v>25626469.64170631</v>
      </c>
      <c r="J11" s="79">
        <f t="shared" si="3"/>
        <v>0.89675126175746966</v>
      </c>
      <c r="K11" s="124">
        <f>H11/ITA!B9*1000</f>
        <v>74.990560796331252</v>
      </c>
      <c r="M11" s="464">
        <f>'FY 19 State Pmt'!BL10</f>
        <v>18404965.759999994</v>
      </c>
      <c r="N11" s="465">
        <f>'Prop Tax'!K9</f>
        <v>5232157.2744191503</v>
      </c>
      <c r="O11" s="406">
        <f t="shared" si="4"/>
        <v>23637123.034419145</v>
      </c>
      <c r="P11" s="456"/>
      <c r="Q11" s="180">
        <f t="shared" si="0"/>
        <v>1989346.6072871648</v>
      </c>
      <c r="R11" s="456"/>
      <c r="S11" s="628">
        <f>-Q11/ITA!B9*1000</f>
        <v>-50.560984458679606</v>
      </c>
    </row>
    <row r="12" spans="1:19" x14ac:dyDescent="0.25">
      <c r="A12" s="125" t="s">
        <v>9</v>
      </c>
      <c r="B12" s="126">
        <v>2479.0500000000002</v>
      </c>
      <c r="C12" s="127">
        <v>1.9237556145916372E-3</v>
      </c>
      <c r="D12" s="128">
        <f>'Total Inst. Cost'!G10</f>
        <v>15298595.086391399</v>
      </c>
      <c r="E12" s="129">
        <f>Facilities!J20</f>
        <v>3556444.4860893651</v>
      </c>
      <c r="F12" s="130">
        <f>'District Services'!K19</f>
        <v>1220232.1101873219</v>
      </c>
      <c r="G12" s="131">
        <f t="shared" si="5"/>
        <v>20075271.682668086</v>
      </c>
      <c r="H12" s="469">
        <f t="shared" si="1"/>
        <v>2361984.2175808349</v>
      </c>
      <c r="I12" s="470">
        <f t="shared" si="2"/>
        <v>17713287.46508725</v>
      </c>
      <c r="J12" s="132">
        <f t="shared" si="3"/>
        <v>0.8823435988853866</v>
      </c>
      <c r="K12" s="134">
        <f>H12/ITA!B10*1000</f>
        <v>74.990560796331266</v>
      </c>
      <c r="L12" s="133"/>
      <c r="M12" s="462">
        <f>'FY 19 State Pmt'!BL11</f>
        <v>12974059.230000002</v>
      </c>
      <c r="N12" s="463">
        <f>'Prop Tax'!K10</f>
        <v>2928063.056532206</v>
      </c>
      <c r="O12" s="405">
        <f t="shared" si="4"/>
        <v>15902122.286532208</v>
      </c>
      <c r="P12" s="455"/>
      <c r="Q12" s="181">
        <f t="shared" si="0"/>
        <v>1811165.1785550416</v>
      </c>
      <c r="R12" s="455"/>
      <c r="S12" s="627">
        <f>-Q12/ITA!B10*1000</f>
        <v>-57.502624879406831</v>
      </c>
    </row>
    <row r="13" spans="1:19" x14ac:dyDescent="0.25">
      <c r="A13" s="123" t="s">
        <v>10</v>
      </c>
      <c r="B13" s="47">
        <v>2744.29</v>
      </c>
      <c r="C13" s="73">
        <v>4.6723909517254244E-3</v>
      </c>
      <c r="D13" s="58">
        <f>'Total Inst. Cost'!G11</f>
        <v>16585854.022307459</v>
      </c>
      <c r="E13" s="56">
        <f>Facilities!J21</f>
        <v>3871458.191315644</v>
      </c>
      <c r="F13" s="55">
        <f>'District Services'!K20</f>
        <v>1229017.169348479</v>
      </c>
      <c r="G13" s="76">
        <f t="shared" si="5"/>
        <v>21686329.382971581</v>
      </c>
      <c r="H13" s="471">
        <f t="shared" si="1"/>
        <v>5736754.5038643731</v>
      </c>
      <c r="I13" s="472">
        <f t="shared" si="2"/>
        <v>15949574.879107207</v>
      </c>
      <c r="J13" s="79">
        <f t="shared" si="3"/>
        <v>0.7354667817427436</v>
      </c>
      <c r="K13" s="124">
        <f>H13/ITA!B11*1000</f>
        <v>74.990560796331266</v>
      </c>
      <c r="M13" s="464">
        <f>'FY 19 State Pmt'!BL12</f>
        <v>11346702.609999999</v>
      </c>
      <c r="N13" s="465">
        <f>'Prop Tax'!K11</f>
        <v>5828525.2217767099</v>
      </c>
      <c r="O13" s="406">
        <f t="shared" si="4"/>
        <v>17175227.831776708</v>
      </c>
      <c r="P13" s="456"/>
      <c r="Q13" s="180">
        <f t="shared" si="0"/>
        <v>-1225652.9526695013</v>
      </c>
      <c r="R13" s="456"/>
      <c r="S13" s="628">
        <f>-Q13/ITA!B11*1000</f>
        <v>16.021672567729969</v>
      </c>
    </row>
    <row r="14" spans="1:19" x14ac:dyDescent="0.25">
      <c r="A14" s="125" t="s">
        <v>11</v>
      </c>
      <c r="B14" s="126">
        <v>12671.61</v>
      </c>
      <c r="C14" s="127">
        <v>1.4160792416760841E-2</v>
      </c>
      <c r="D14" s="128">
        <f>'Total Inst. Cost'!G12</f>
        <v>75296150.81455341</v>
      </c>
      <c r="E14" s="129">
        <f>Facilities!J22</f>
        <v>17769006.748170268</v>
      </c>
      <c r="F14" s="130">
        <f>'District Services'!K21</f>
        <v>3457841.2403447316</v>
      </c>
      <c r="G14" s="131">
        <f t="shared" si="5"/>
        <v>96522998.803068414</v>
      </c>
      <c r="H14" s="469">
        <f t="shared" si="1"/>
        <v>17386599.390862606</v>
      </c>
      <c r="I14" s="470">
        <f t="shared" si="2"/>
        <v>79136399.412205815</v>
      </c>
      <c r="J14" s="132">
        <f t="shared" si="3"/>
        <v>0.81987091567331316</v>
      </c>
      <c r="K14" s="134">
        <f>H14/ITA!B12*1000</f>
        <v>74.990560796331266</v>
      </c>
      <c r="L14" s="133"/>
      <c r="M14" s="462">
        <f>'FY 19 State Pmt'!BL13</f>
        <v>56319472.889999993</v>
      </c>
      <c r="N14" s="463">
        <f>'Prop Tax'!K12</f>
        <v>19633766.877142113</v>
      </c>
      <c r="O14" s="405">
        <f t="shared" si="4"/>
        <v>75953239.767142102</v>
      </c>
      <c r="P14" s="455"/>
      <c r="Q14" s="181">
        <f t="shared" si="0"/>
        <v>3183159.6450637132</v>
      </c>
      <c r="R14" s="455"/>
      <c r="S14" s="627">
        <f>-Q14/ITA!B12*1000</f>
        <v>-13.729362569487236</v>
      </c>
    </row>
    <row r="15" spans="1:19" x14ac:dyDescent="0.25">
      <c r="A15" s="123" t="s">
        <v>12</v>
      </c>
      <c r="B15" s="47">
        <v>1256.76</v>
      </c>
      <c r="C15" s="73">
        <v>7.9907861340166339E-4</v>
      </c>
      <c r="D15" s="136">
        <f>'Total Inst. Cost'!G13</f>
        <v>7686152.0506446445</v>
      </c>
      <c r="E15" s="137">
        <f>Facilities!J23</f>
        <v>1802817.515304361</v>
      </c>
      <c r="F15" s="138">
        <f>'District Services'!K22</f>
        <v>1166864.6720927164</v>
      </c>
      <c r="G15" s="139">
        <f t="shared" si="5"/>
        <v>10655834.238041723</v>
      </c>
      <c r="H15" s="471">
        <f t="shared" si="1"/>
        <v>981107.50614326552</v>
      </c>
      <c r="I15" s="472">
        <f t="shared" si="2"/>
        <v>9674726.7318984568</v>
      </c>
      <c r="J15" s="79">
        <f t="shared" si="3"/>
        <v>0.90792766814627468</v>
      </c>
      <c r="K15" s="124">
        <f>H15/ITA!B13*1000</f>
        <v>74.990560796331252</v>
      </c>
      <c r="M15" s="464">
        <f>'FY 19 State Pmt'!BL14</f>
        <v>6659539.7800000021</v>
      </c>
      <c r="N15" s="465">
        <f>'Prop Tax'!K13</f>
        <v>2576980.9675364122</v>
      </c>
      <c r="O15" s="406">
        <f t="shared" si="4"/>
        <v>9236520.7475364134</v>
      </c>
      <c r="P15" s="456"/>
      <c r="Q15" s="180">
        <f t="shared" si="0"/>
        <v>438205.98436204344</v>
      </c>
      <c r="R15" s="456"/>
      <c r="S15" s="628">
        <f>-Q15/ITA!B13*1000</f>
        <v>-33.494099582211796</v>
      </c>
    </row>
    <row r="16" spans="1:19" x14ac:dyDescent="0.25">
      <c r="A16" s="125" t="s">
        <v>13</v>
      </c>
      <c r="B16" s="126">
        <v>638.25</v>
      </c>
      <c r="C16" s="127">
        <v>6.1247110850467428E-4</v>
      </c>
      <c r="D16" s="128">
        <f>'Total Inst. Cost'!G14</f>
        <v>4244941.7549113333</v>
      </c>
      <c r="E16" s="129">
        <f>Facilities!J24</f>
        <v>980612.75196510064</v>
      </c>
      <c r="F16" s="130">
        <f>'District Services'!K23</f>
        <v>1142640.1561674955</v>
      </c>
      <c r="G16" s="131">
        <f t="shared" si="5"/>
        <v>6368194.6630439293</v>
      </c>
      <c r="H16" s="469">
        <f t="shared" si="1"/>
        <v>751991.09545905853</v>
      </c>
      <c r="I16" s="470">
        <f t="shared" si="2"/>
        <v>5616203.5675848704</v>
      </c>
      <c r="J16" s="132">
        <f t="shared" si="3"/>
        <v>0.88191455581233513</v>
      </c>
      <c r="K16" s="134">
        <f>H16/ITA!B14*1000</f>
        <v>74.990560796331266</v>
      </c>
      <c r="L16" s="133"/>
      <c r="M16" s="462">
        <f>'FY 19 State Pmt'!BL15</f>
        <v>3543822.72</v>
      </c>
      <c r="N16" s="463">
        <f>'Prop Tax'!K14</f>
        <v>1584188.5561002514</v>
      </c>
      <c r="O16" s="405">
        <f t="shared" si="4"/>
        <v>5128011.2761002518</v>
      </c>
      <c r="P16" s="455"/>
      <c r="Q16" s="181">
        <f t="shared" si="0"/>
        <v>488192.29148461856</v>
      </c>
      <c r="R16" s="455"/>
      <c r="S16" s="627">
        <f>-Q16/ITA!B14*1000</f>
        <v>-48.683839391115164</v>
      </c>
    </row>
    <row r="17" spans="1:19" x14ac:dyDescent="0.25">
      <c r="A17" s="123" t="s">
        <v>14</v>
      </c>
      <c r="B17" s="47">
        <v>587.14</v>
      </c>
      <c r="C17" s="73">
        <v>4.7623242780110166E-4</v>
      </c>
      <c r="D17" s="58">
        <f>'Total Inst. Cost'!G15</f>
        <v>3857935.0405306006</v>
      </c>
      <c r="E17" s="56">
        <f>Facilities!J25</f>
        <v>884186.53300260997</v>
      </c>
      <c r="F17" s="55">
        <f>'District Services'!K24</f>
        <v>1139423.0827173365</v>
      </c>
      <c r="G17" s="76">
        <f t="shared" si="5"/>
        <v>5881544.6562505476</v>
      </c>
      <c r="H17" s="471">
        <f t="shared" si="1"/>
        <v>584717.45050900523</v>
      </c>
      <c r="I17" s="472">
        <f t="shared" si="2"/>
        <v>5296827.2057415424</v>
      </c>
      <c r="J17" s="79">
        <f t="shared" si="3"/>
        <v>0.90058437286749105</v>
      </c>
      <c r="K17" s="124">
        <f>H17/ITA!B15*1000</f>
        <v>74.990560796331266</v>
      </c>
      <c r="M17" s="464">
        <f>'FY 19 State Pmt'!BL16</f>
        <v>3216262.62</v>
      </c>
      <c r="N17" s="465">
        <f>'Prop Tax'!K15</f>
        <v>753068.87708475871</v>
      </c>
      <c r="O17" s="406">
        <f t="shared" si="4"/>
        <v>3969331.4970847587</v>
      </c>
      <c r="P17" s="456"/>
      <c r="Q17" s="180">
        <f t="shared" si="0"/>
        <v>1327495.7086567837</v>
      </c>
      <c r="R17" s="456"/>
      <c r="S17" s="628">
        <f>-Q17/ITA!B15*1000</f>
        <v>-170.25256824511726</v>
      </c>
    </row>
    <row r="18" spans="1:19" x14ac:dyDescent="0.25">
      <c r="A18" s="125" t="s">
        <v>15</v>
      </c>
      <c r="B18" s="126">
        <v>822.79</v>
      </c>
      <c r="C18" s="127">
        <v>6.907192565173537E-4</v>
      </c>
      <c r="D18" s="128">
        <f>'Total Inst. Cost'!G16</f>
        <v>5137142.9014278771</v>
      </c>
      <c r="E18" s="129">
        <f>Facilities!J26</f>
        <v>1190713.3936763052</v>
      </c>
      <c r="F18" s="130">
        <f>'District Services'!K25</f>
        <v>1148365.3868798784</v>
      </c>
      <c r="G18" s="131">
        <f t="shared" si="5"/>
        <v>7476221.6819840604</v>
      </c>
      <c r="H18" s="469">
        <f t="shared" si="1"/>
        <v>848064.05257430556</v>
      </c>
      <c r="I18" s="470">
        <f t="shared" si="2"/>
        <v>6628157.6294097546</v>
      </c>
      <c r="J18" s="132">
        <f t="shared" si="3"/>
        <v>0.88656515434555117</v>
      </c>
      <c r="K18" s="134">
        <f>H18/ITA!B16*1000</f>
        <v>74.990560796331252</v>
      </c>
      <c r="L18" s="133"/>
      <c r="M18" s="462">
        <f>'FY 19 State Pmt'!BL17</f>
        <v>4452688.8899999997</v>
      </c>
      <c r="N18" s="463">
        <f>'Prop Tax'!K16</f>
        <v>1191271.1258911302</v>
      </c>
      <c r="O18" s="405">
        <f t="shared" si="4"/>
        <v>5643960.0158911301</v>
      </c>
      <c r="P18" s="455"/>
      <c r="Q18" s="181">
        <f t="shared" si="0"/>
        <v>984197.61351862457</v>
      </c>
      <c r="R18" s="455"/>
      <c r="S18" s="627">
        <f>-Q18/ITA!B16*1000</f>
        <v>-87.028250694196075</v>
      </c>
    </row>
    <row r="19" spans="1:19" x14ac:dyDescent="0.25">
      <c r="A19" s="123" t="s">
        <v>16</v>
      </c>
      <c r="B19" s="47">
        <v>2117.3200000000002</v>
      </c>
      <c r="C19" s="73">
        <v>1.3819499128908585E-3</v>
      </c>
      <c r="D19" s="136">
        <f>'Total Inst. Cost'!G17</f>
        <v>13252957.664817503</v>
      </c>
      <c r="E19" s="137">
        <f>Facilities!J27</f>
        <v>3080651.8666226477</v>
      </c>
      <c r="F19" s="138">
        <f>'District Services'!K26</f>
        <v>1206280.78467423</v>
      </c>
      <c r="G19" s="139">
        <f t="shared" si="5"/>
        <v>17539890.316114381</v>
      </c>
      <c r="H19" s="471">
        <f t="shared" si="1"/>
        <v>1696756.0011141589</v>
      </c>
      <c r="I19" s="472">
        <f t="shared" si="2"/>
        <v>15843134.315000221</v>
      </c>
      <c r="J19" s="79">
        <f t="shared" si="3"/>
        <v>0.90326302100331246</v>
      </c>
      <c r="K19" s="124">
        <f>H19/ITA!B17*1000</f>
        <v>74.990560796331266</v>
      </c>
      <c r="M19" s="464">
        <f>'FY 19 State Pmt'!BL18</f>
        <v>11164347.09</v>
      </c>
      <c r="N19" s="465">
        <f>'Prop Tax'!K17</f>
        <v>2508104.3512225533</v>
      </c>
      <c r="O19" s="406">
        <f t="shared" si="4"/>
        <v>13672451.441222552</v>
      </c>
      <c r="P19" s="456"/>
      <c r="Q19" s="180">
        <f t="shared" si="0"/>
        <v>2170682.8737776689</v>
      </c>
      <c r="R19" s="456"/>
      <c r="S19" s="628">
        <f>-Q19/ITA!B17*1000</f>
        <v>-95.936437477569484</v>
      </c>
    </row>
    <row r="20" spans="1:19" x14ac:dyDescent="0.25">
      <c r="A20" s="125" t="s">
        <v>17</v>
      </c>
      <c r="B20" s="126">
        <v>21287.25</v>
      </c>
      <c r="C20" s="127">
        <v>7.7120292428984563E-2</v>
      </c>
      <c r="D20" s="128">
        <f>'Total Inst. Cost'!G18</f>
        <v>123173614.89842042</v>
      </c>
      <c r="E20" s="129">
        <f>Facilities!J28</f>
        <v>28771726.305254482</v>
      </c>
      <c r="F20" s="130">
        <f>'District Services'!K27</f>
        <v>4077752.1450276757</v>
      </c>
      <c r="G20" s="131">
        <f t="shared" si="5"/>
        <v>156023093.34870258</v>
      </c>
      <c r="H20" s="469">
        <f t="shared" si="1"/>
        <v>94688177.745044515</v>
      </c>
      <c r="I20" s="470">
        <f t="shared" si="2"/>
        <v>61334915.603658065</v>
      </c>
      <c r="J20" s="132">
        <f t="shared" si="3"/>
        <v>0.39311434151980362</v>
      </c>
      <c r="K20" s="134">
        <f>H20/ITA!B18*1000</f>
        <v>74.990560796331252</v>
      </c>
      <c r="L20" s="133"/>
      <c r="M20" s="462">
        <f>'FY 19 State Pmt'!BL19</f>
        <v>38788642.430000007</v>
      </c>
      <c r="N20" s="463">
        <f>'Prop Tax'!K18</f>
        <v>55812655.439504087</v>
      </c>
      <c r="O20" s="405">
        <f t="shared" si="4"/>
        <v>94601297.869504094</v>
      </c>
      <c r="P20" s="455"/>
      <c r="Q20" s="181">
        <f t="shared" si="0"/>
        <v>-33266382.265846029</v>
      </c>
      <c r="R20" s="455"/>
      <c r="S20" s="627">
        <f>-Q20/ITA!B18*1000</f>
        <v>26.346104880146772</v>
      </c>
    </row>
    <row r="21" spans="1:19" x14ac:dyDescent="0.25">
      <c r="A21" s="123" t="s">
        <v>18</v>
      </c>
      <c r="B21" s="47">
        <v>34520.18</v>
      </c>
      <c r="C21" s="73">
        <v>3.989781728574758E-2</v>
      </c>
      <c r="D21" s="58">
        <f>'Total Inst. Cost'!G19</f>
        <v>200496627.66509283</v>
      </c>
      <c r="E21" s="56">
        <f>Facilities!J29</f>
        <v>47308072.134319797</v>
      </c>
      <c r="F21" s="55">
        <f>'District Services'!K28</f>
        <v>4636368.3950841073</v>
      </c>
      <c r="G21" s="76">
        <f t="shared" si="5"/>
        <v>252441068.19449672</v>
      </c>
      <c r="H21" s="471">
        <f t="shared" si="1"/>
        <v>48986479.379223987</v>
      </c>
      <c r="I21" s="472">
        <f t="shared" si="2"/>
        <v>203454588.81527275</v>
      </c>
      <c r="J21" s="79">
        <f t="shared" si="3"/>
        <v>0.8059488508364191</v>
      </c>
      <c r="K21" s="124">
        <f>H21/ITA!B19*1000</f>
        <v>74.990560796331266</v>
      </c>
      <c r="M21" s="464">
        <f>'FY 19 State Pmt'!BL20</f>
        <v>148881261.52000007</v>
      </c>
      <c r="N21" s="465">
        <f>'Prop Tax'!K19</f>
        <v>43082549.763775848</v>
      </c>
      <c r="O21" s="406">
        <f t="shared" si="4"/>
        <v>191963811.28377593</v>
      </c>
      <c r="P21" s="456"/>
      <c r="Q21" s="180">
        <f t="shared" si="0"/>
        <v>11490777.531496823</v>
      </c>
      <c r="R21" s="456"/>
      <c r="S21" s="628">
        <f>-Q21/ITA!B19*1000</f>
        <v>-17.590565029220929</v>
      </c>
    </row>
    <row r="22" spans="1:19" x14ac:dyDescent="0.25">
      <c r="A22" s="125" t="s">
        <v>19</v>
      </c>
      <c r="B22" s="126">
        <v>1587.18</v>
      </c>
      <c r="C22" s="127">
        <v>4.0352253928636868E-3</v>
      </c>
      <c r="D22" s="128">
        <f>'Total Inst. Cost'!G20</f>
        <v>9974057.7382178698</v>
      </c>
      <c r="E22" s="129">
        <f>Facilities!J30</f>
        <v>2320737.9786725938</v>
      </c>
      <c r="F22" s="130">
        <f>'District Services'!K29</f>
        <v>1183162.9587093696</v>
      </c>
      <c r="G22" s="131">
        <f t="shared" si="5"/>
        <v>13477958.675599834</v>
      </c>
      <c r="H22" s="469">
        <f t="shared" si="1"/>
        <v>4954443.5998169463</v>
      </c>
      <c r="I22" s="470">
        <f t="shared" si="2"/>
        <v>8523515.0757828876</v>
      </c>
      <c r="J22" s="132">
        <f t="shared" si="3"/>
        <v>0.63240400723394785</v>
      </c>
      <c r="K22" s="134">
        <f>H22/ITA!B20*1000</f>
        <v>74.990560796331266</v>
      </c>
      <c r="L22" s="133"/>
      <c r="M22" s="462">
        <f>'FY 19 State Pmt'!BL21</f>
        <v>5572057.169999999</v>
      </c>
      <c r="N22" s="463">
        <f>'Prop Tax'!K20</f>
        <v>4167273.6631478528</v>
      </c>
      <c r="O22" s="405">
        <f t="shared" si="4"/>
        <v>9739330.8331478518</v>
      </c>
      <c r="P22" s="455"/>
      <c r="Q22" s="181">
        <f t="shared" si="0"/>
        <v>-1215815.7573649641</v>
      </c>
      <c r="R22" s="455"/>
      <c r="S22" s="627">
        <f>-Q22/ITA!B20*1000</f>
        <v>18.402612449394631</v>
      </c>
    </row>
    <row r="23" spans="1:19" x14ac:dyDescent="0.25">
      <c r="A23" s="123" t="s">
        <v>20</v>
      </c>
      <c r="B23" s="47">
        <v>46485.36</v>
      </c>
      <c r="C23" s="73">
        <v>0.14230496785172694</v>
      </c>
      <c r="D23" s="136">
        <f>'Total Inst. Cost'!G21</f>
        <v>263670291.25483599</v>
      </c>
      <c r="E23" s="137">
        <f>Facilities!J31</f>
        <v>62450010.15781197</v>
      </c>
      <c r="F23" s="138">
        <f>'District Services'!K30</f>
        <v>5072409.4899968803</v>
      </c>
      <c r="G23" s="139">
        <f t="shared" si="5"/>
        <v>331192710.90264487</v>
      </c>
      <c r="H23" s="471">
        <f t="shared" si="1"/>
        <v>174721823.08378968</v>
      </c>
      <c r="I23" s="472">
        <f t="shared" si="2"/>
        <v>156470887.8188552</v>
      </c>
      <c r="J23" s="79">
        <f t="shared" si="3"/>
        <v>0.47244665316577666</v>
      </c>
      <c r="K23" s="124">
        <f>H23/ITA!B21*1000</f>
        <v>74.990560796331252</v>
      </c>
      <c r="M23" s="464">
        <f>'FY 19 State Pmt'!BL22</f>
        <v>108460893.19000001</v>
      </c>
      <c r="N23" s="465">
        <f>'Prop Tax'!K21</f>
        <v>97634163.722700834</v>
      </c>
      <c r="O23" s="406">
        <f t="shared" si="4"/>
        <v>206095056.91270083</v>
      </c>
      <c r="P23" s="456"/>
      <c r="Q23" s="180">
        <f t="shared" si="0"/>
        <v>-49624169.093845636</v>
      </c>
      <c r="R23" s="456"/>
      <c r="S23" s="628">
        <f>-Q23/ITA!B21*1000</f>
        <v>21.298680403619894</v>
      </c>
    </row>
    <row r="24" spans="1:19" x14ac:dyDescent="0.25">
      <c r="A24" s="125" t="s">
        <v>21</v>
      </c>
      <c r="B24" s="126">
        <v>8259.2199999999993</v>
      </c>
      <c r="C24" s="127">
        <v>9.2500362391662126E-3</v>
      </c>
      <c r="D24" s="128">
        <f>'Total Inst. Cost'!G22</f>
        <v>49882694.83583156</v>
      </c>
      <c r="E24" s="129">
        <f>Facilities!J32</f>
        <v>11686552.268931784</v>
      </c>
      <c r="F24" s="130">
        <f>'District Services'!K31</f>
        <v>2219873.6794466879</v>
      </c>
      <c r="G24" s="131">
        <f t="shared" si="5"/>
        <v>63789120.784210034</v>
      </c>
      <c r="H24" s="469">
        <f t="shared" si="1"/>
        <v>11357180.425227363</v>
      </c>
      <c r="I24" s="470">
        <f t="shared" si="2"/>
        <v>52431940.358982667</v>
      </c>
      <c r="J24" s="132">
        <f t="shared" si="3"/>
        <v>0.82195740769578607</v>
      </c>
      <c r="K24" s="134">
        <f>H24/ITA!B22*1000</f>
        <v>74.990560796331266</v>
      </c>
      <c r="L24" s="133"/>
      <c r="M24" s="462">
        <f>'FY 19 State Pmt'!BL23</f>
        <v>38459639.490000002</v>
      </c>
      <c r="N24" s="463">
        <f>'Prop Tax'!K22</f>
        <v>12386165.844854526</v>
      </c>
      <c r="O24" s="405">
        <f t="shared" si="4"/>
        <v>50845805.334854528</v>
      </c>
      <c r="P24" s="455"/>
      <c r="Q24" s="181">
        <f t="shared" si="0"/>
        <v>1586135.024128139</v>
      </c>
      <c r="R24" s="455"/>
      <c r="S24" s="627">
        <f>-Q24/ITA!B22*1000</f>
        <v>-10.473123654341377</v>
      </c>
    </row>
    <row r="25" spans="1:19" x14ac:dyDescent="0.25">
      <c r="A25" s="123" t="s">
        <v>22</v>
      </c>
      <c r="B25" s="47">
        <v>4970.04</v>
      </c>
      <c r="C25" s="73">
        <v>5.0065901774861855E-3</v>
      </c>
      <c r="D25" s="58">
        <f>'Total Inst. Cost'!G23</f>
        <v>30267058.135236464</v>
      </c>
      <c r="E25" s="56">
        <f>Facilities!J33</f>
        <v>7123112.5585139534</v>
      </c>
      <c r="F25" s="55">
        <f>'District Services'!K32</f>
        <v>1328687.3924386536</v>
      </c>
      <c r="G25" s="76">
        <f t="shared" si="5"/>
        <v>38718858.086189069</v>
      </c>
      <c r="H25" s="471">
        <f t="shared" si="1"/>
        <v>6147083.8049394554</v>
      </c>
      <c r="I25" s="472">
        <f t="shared" si="2"/>
        <v>32571774.281249613</v>
      </c>
      <c r="J25" s="79">
        <f t="shared" si="3"/>
        <v>0.84123798818508788</v>
      </c>
      <c r="K25" s="124">
        <f>H25/ITA!B23*1000</f>
        <v>74.990560796331266</v>
      </c>
      <c r="M25" s="464">
        <f>'FY 19 State Pmt'!BL24</f>
        <v>23875292.479999993</v>
      </c>
      <c r="N25" s="465">
        <f>'Prop Tax'!K23</f>
        <v>7437556.2248925511</v>
      </c>
      <c r="O25" s="406">
        <f t="shared" si="4"/>
        <v>31312848.704892546</v>
      </c>
      <c r="P25" s="456"/>
      <c r="Q25" s="180">
        <f t="shared" si="0"/>
        <v>1258925.5763570666</v>
      </c>
      <c r="R25" s="456"/>
      <c r="S25" s="628">
        <f>-Q25/ITA!B23*1000</f>
        <v>-15.358101169208124</v>
      </c>
    </row>
    <row r="26" spans="1:19" x14ac:dyDescent="0.25">
      <c r="A26" s="125" t="s">
        <v>23</v>
      </c>
      <c r="B26" s="126">
        <v>6691.02</v>
      </c>
      <c r="C26" s="127">
        <v>5.8511704907844827E-3</v>
      </c>
      <c r="D26" s="128">
        <f>'Total Inst. Cost'!G24</f>
        <v>40588993.905945361</v>
      </c>
      <c r="E26" s="129">
        <f>Facilities!J34</f>
        <v>9395801.5905674361</v>
      </c>
      <c r="F26" s="130">
        <f>'District Services'!K33</f>
        <v>1697133.2733241688</v>
      </c>
      <c r="G26" s="131">
        <f t="shared" si="5"/>
        <v>51681928.76983697</v>
      </c>
      <c r="H26" s="469">
        <f t="shared" si="1"/>
        <v>7184058.2290081363</v>
      </c>
      <c r="I26" s="470">
        <f t="shared" si="2"/>
        <v>44497870.540828831</v>
      </c>
      <c r="J26" s="132">
        <f t="shared" si="3"/>
        <v>0.86099477322137097</v>
      </c>
      <c r="K26" s="134">
        <f>H26/ITA!B24*1000</f>
        <v>74.990560796331266</v>
      </c>
      <c r="L26" s="133"/>
      <c r="M26" s="462">
        <f>'FY 19 State Pmt'!BL25</f>
        <v>33318302.999999996</v>
      </c>
      <c r="N26" s="463">
        <f>'Prop Tax'!K24</f>
        <v>8105283.1067110524</v>
      </c>
      <c r="O26" s="405">
        <f t="shared" si="4"/>
        <v>41423586.106711045</v>
      </c>
      <c r="P26" s="455"/>
      <c r="Q26" s="181">
        <f t="shared" si="0"/>
        <v>3074284.4341177866</v>
      </c>
      <c r="R26" s="455"/>
      <c r="S26" s="627">
        <f>-Q26/ITA!B24*1000</f>
        <v>-32.090819201747259</v>
      </c>
    </row>
    <row r="27" spans="1:19" x14ac:dyDescent="0.25">
      <c r="A27" s="123" t="s">
        <v>24</v>
      </c>
      <c r="B27" s="47">
        <v>710.4</v>
      </c>
      <c r="C27" s="73">
        <v>1.4402268979077219E-3</v>
      </c>
      <c r="D27" s="136">
        <f>'Total Inst. Cost'!G25</f>
        <v>4724198.6730411975</v>
      </c>
      <c r="E27" s="137">
        <f>Facilities!J35</f>
        <v>1091654.177198654</v>
      </c>
      <c r="F27" s="138">
        <f>'District Services'!K34</f>
        <v>1146111.5216626299</v>
      </c>
      <c r="G27" s="139">
        <f t="shared" si="5"/>
        <v>6961964.3719024817</v>
      </c>
      <c r="H27" s="471">
        <f t="shared" si="1"/>
        <v>1768308.3946791</v>
      </c>
      <c r="I27" s="472">
        <f t="shared" si="2"/>
        <v>5193655.9772233814</v>
      </c>
      <c r="J27" s="79">
        <f t="shared" si="3"/>
        <v>0.74600438896014087</v>
      </c>
      <c r="K27" s="124">
        <f>H27/ITA!B25*1000</f>
        <v>74.990560796331266</v>
      </c>
      <c r="M27" s="464">
        <f>'FY 19 State Pmt'!BL26</f>
        <v>3464007.09</v>
      </c>
      <c r="N27" s="465">
        <f>'Prop Tax'!K25</f>
        <v>1162856.68868247</v>
      </c>
      <c r="O27" s="406">
        <f t="shared" si="4"/>
        <v>4626863.7786824703</v>
      </c>
      <c r="P27" s="456"/>
      <c r="Q27" s="180">
        <f t="shared" si="0"/>
        <v>566792.19854091108</v>
      </c>
      <c r="R27" s="456"/>
      <c r="S27" s="628">
        <f>-Q27/ITA!B25*1000</f>
        <v>-24.036567915112897</v>
      </c>
    </row>
    <row r="28" spans="1:19" x14ac:dyDescent="0.25">
      <c r="A28" s="125" t="s">
        <v>25</v>
      </c>
      <c r="B28" s="126">
        <v>2753.54</v>
      </c>
      <c r="C28" s="127">
        <v>2.2624865894419525E-3</v>
      </c>
      <c r="D28" s="128">
        <f>'Total Inst. Cost'!G26</f>
        <v>17790424.619491991</v>
      </c>
      <c r="E28" s="129">
        <f>Facilities!J36</f>
        <v>4134815.9905249733</v>
      </c>
      <c r="F28" s="130">
        <f>'District Services'!K35</f>
        <v>1240091.2506236869</v>
      </c>
      <c r="G28" s="131">
        <f t="shared" si="5"/>
        <v>23165331.860640652</v>
      </c>
      <c r="H28" s="469">
        <f t="shared" si="1"/>
        <v>2777877.5932953227</v>
      </c>
      <c r="I28" s="470">
        <f t="shared" si="2"/>
        <v>20387454.267345332</v>
      </c>
      <c r="J28" s="132">
        <f t="shared" si="3"/>
        <v>0.8800847054552623</v>
      </c>
      <c r="K28" s="134">
        <f>H28/ITA!B26*1000</f>
        <v>74.990560796331266</v>
      </c>
      <c r="L28" s="133"/>
      <c r="M28" s="462">
        <f>'FY 19 State Pmt'!BL27</f>
        <v>14242918.110000003</v>
      </c>
      <c r="N28" s="463">
        <f>'Prop Tax'!K26</f>
        <v>2774290.617085218</v>
      </c>
      <c r="O28" s="405">
        <f t="shared" si="4"/>
        <v>17017208.727085222</v>
      </c>
      <c r="P28" s="455"/>
      <c r="Q28" s="181">
        <f t="shared" si="0"/>
        <v>3370245.5402601101</v>
      </c>
      <c r="R28" s="455"/>
      <c r="S28" s="627">
        <f>-Q28/ITA!B26*1000</f>
        <v>-90.981907804521114</v>
      </c>
    </row>
    <row r="29" spans="1:19" x14ac:dyDescent="0.25">
      <c r="A29" s="123" t="s">
        <v>26</v>
      </c>
      <c r="B29" s="47">
        <v>1253.3399999999999</v>
      </c>
      <c r="C29" s="73">
        <v>3.7378938030003861E-4</v>
      </c>
      <c r="D29" s="58">
        <f>'Total Inst. Cost'!G27</f>
        <v>7431779.581042923</v>
      </c>
      <c r="E29" s="56">
        <f>Facilities!J37</f>
        <v>1755086.0454271527</v>
      </c>
      <c r="F29" s="55">
        <f>'District Services'!K36</f>
        <v>1164888.1855043925</v>
      </c>
      <c r="G29" s="76">
        <f t="shared" si="5"/>
        <v>10351753.811974468</v>
      </c>
      <c r="H29" s="471">
        <f t="shared" si="1"/>
        <v>458938.03260214266</v>
      </c>
      <c r="I29" s="472">
        <f t="shared" si="2"/>
        <v>9892815.7793723252</v>
      </c>
      <c r="J29" s="79">
        <f t="shared" si="3"/>
        <v>0.95566567357202192</v>
      </c>
      <c r="K29" s="124">
        <f>H29/ITA!B27*1000</f>
        <v>74.990560796331252</v>
      </c>
      <c r="M29" s="464">
        <f>'FY 19 State Pmt'!BL28</f>
        <v>6892444.8499999987</v>
      </c>
      <c r="N29" s="465">
        <f>'Prop Tax'!K27</f>
        <v>1081219.0327931792</v>
      </c>
      <c r="O29" s="406">
        <f t="shared" si="4"/>
        <v>7973663.8827931779</v>
      </c>
      <c r="P29" s="456"/>
      <c r="Q29" s="180">
        <f t="shared" si="0"/>
        <v>1919151.8965791473</v>
      </c>
      <c r="R29" s="456"/>
      <c r="S29" s="628">
        <f>-Q29/ITA!B27*1000</f>
        <v>-313.58978065471632</v>
      </c>
    </row>
    <row r="30" spans="1:19" x14ac:dyDescent="0.25">
      <c r="A30" s="125" t="s">
        <v>27</v>
      </c>
      <c r="B30" s="126">
        <v>5263.6</v>
      </c>
      <c r="C30" s="127">
        <v>8.4444632812399421E-3</v>
      </c>
      <c r="D30" s="128">
        <f>'Total Inst. Cost'!G28</f>
        <v>33538710.132798426</v>
      </c>
      <c r="E30" s="129">
        <f>Facilities!J38</f>
        <v>7750431.9271119833</v>
      </c>
      <c r="F30" s="130">
        <f>'District Services'!K37</f>
        <v>1350300.2392805484</v>
      </c>
      <c r="G30" s="131">
        <f t="shared" si="5"/>
        <v>42639442.299190961</v>
      </c>
      <c r="H30" s="469">
        <f t="shared" si="1"/>
        <v>10368099.172754623</v>
      </c>
      <c r="I30" s="470">
        <f t="shared" si="2"/>
        <v>32271343.126436338</v>
      </c>
      <c r="J30" s="132">
        <f t="shared" si="3"/>
        <v>0.75684252387720963</v>
      </c>
      <c r="K30" s="134">
        <f>H30/ITA!B28*1000</f>
        <v>74.990560796331266</v>
      </c>
      <c r="L30" s="133"/>
      <c r="M30" s="462">
        <f>'FY 19 State Pmt'!BL29</f>
        <v>23191159.999999996</v>
      </c>
      <c r="N30" s="463">
        <f>'Prop Tax'!K28</f>
        <v>6164871.4210511865</v>
      </c>
      <c r="O30" s="405">
        <f t="shared" si="4"/>
        <v>29356031.421051182</v>
      </c>
      <c r="P30" s="455"/>
      <c r="Q30" s="181">
        <f t="shared" si="0"/>
        <v>2915311.705385156</v>
      </c>
      <c r="R30" s="455"/>
      <c r="S30" s="627">
        <f>-Q30/ITA!B28*1000</f>
        <v>-21.085915175024116</v>
      </c>
    </row>
    <row r="31" spans="1:19" x14ac:dyDescent="0.25">
      <c r="A31" s="123" t="s">
        <v>28</v>
      </c>
      <c r="B31" s="47">
        <v>9606.7099999999991</v>
      </c>
      <c r="C31" s="73">
        <v>1.165546486020297E-2</v>
      </c>
      <c r="D31" s="136">
        <f>'Total Inst. Cost'!G29</f>
        <v>58793603.760916986</v>
      </c>
      <c r="E31" s="137">
        <f>Facilities!J39</f>
        <v>13804726.498666165</v>
      </c>
      <c r="F31" s="138">
        <f>'District Services'!K38</f>
        <v>2588282.2874667956</v>
      </c>
      <c r="G31" s="139">
        <f t="shared" si="5"/>
        <v>75186612.54704994</v>
      </c>
      <c r="H31" s="471">
        <f t="shared" si="1"/>
        <v>14310562.027501257</v>
      </c>
      <c r="I31" s="472">
        <f t="shared" si="2"/>
        <v>60876050.519548684</v>
      </c>
      <c r="J31" s="79">
        <f t="shared" si="3"/>
        <v>0.80966608891249015</v>
      </c>
      <c r="K31" s="124">
        <f>H31/ITA!B29*1000</f>
        <v>74.990560796331266</v>
      </c>
      <c r="M31" s="464">
        <f>'FY 19 State Pmt'!BL30</f>
        <v>44339857.70000001</v>
      </c>
      <c r="N31" s="465">
        <f>'Prop Tax'!K29</f>
        <v>13441311.993382974</v>
      </c>
      <c r="O31" s="406">
        <f t="shared" si="4"/>
        <v>57781169.693382986</v>
      </c>
      <c r="P31" s="456"/>
      <c r="Q31" s="180">
        <f t="shared" si="0"/>
        <v>3094880.8261656985</v>
      </c>
      <c r="R31" s="456"/>
      <c r="S31" s="628">
        <f>-Q31/ITA!B29*1000</f>
        <v>-16.217870989690475</v>
      </c>
    </row>
    <row r="32" spans="1:19" x14ac:dyDescent="0.25">
      <c r="A32" s="125" t="s">
        <v>29</v>
      </c>
      <c r="B32" s="126">
        <v>1528.03</v>
      </c>
      <c r="C32" s="127">
        <v>8.427903221858861E-4</v>
      </c>
      <c r="D32" s="128">
        <f>'Total Inst. Cost'!G30</f>
        <v>9145971.510493394</v>
      </c>
      <c r="E32" s="129">
        <f>Facilities!J40</f>
        <v>2147010.047337078</v>
      </c>
      <c r="F32" s="130">
        <f>'District Services'!K39</f>
        <v>1176788.841172002</v>
      </c>
      <c r="G32" s="131">
        <f t="shared" si="5"/>
        <v>12469770.399002474</v>
      </c>
      <c r="H32" s="469">
        <f t="shared" si="1"/>
        <v>1034776.6757034231</v>
      </c>
      <c r="I32" s="470">
        <f t="shared" si="2"/>
        <v>11434993.723299051</v>
      </c>
      <c r="J32" s="132">
        <f t="shared" si="3"/>
        <v>0.917017182947795</v>
      </c>
      <c r="K32" s="134">
        <f>H32/ITA!B30*1000</f>
        <v>74.990560796331266</v>
      </c>
      <c r="L32" s="133"/>
      <c r="M32" s="462">
        <f>'FY 19 State Pmt'!BL31</f>
        <v>8163949.9400000004</v>
      </c>
      <c r="N32" s="463">
        <f>'Prop Tax'!K30</f>
        <v>1235766.9125217153</v>
      </c>
      <c r="O32" s="405">
        <f t="shared" si="4"/>
        <v>9399716.8525217157</v>
      </c>
      <c r="P32" s="455"/>
      <c r="Q32" s="181">
        <f t="shared" si="0"/>
        <v>2035276.870777335</v>
      </c>
      <c r="R32" s="455"/>
      <c r="S32" s="627">
        <f>-Q32/ITA!B30*1000</f>
        <v>-147.49709526612756</v>
      </c>
    </row>
    <row r="33" spans="1:19" x14ac:dyDescent="0.25">
      <c r="A33" s="123" t="s">
        <v>30</v>
      </c>
      <c r="B33" s="47">
        <v>3982.19</v>
      </c>
      <c r="C33" s="73">
        <v>2.530398853578311E-3</v>
      </c>
      <c r="D33" s="58">
        <f>'Total Inst. Cost'!G31</f>
        <v>23718473.483735744</v>
      </c>
      <c r="E33" s="56">
        <f>Facilities!J41</f>
        <v>5629448.5251050377</v>
      </c>
      <c r="F33" s="55">
        <f>'District Services'!K40</f>
        <v>1282296.7979726929</v>
      </c>
      <c r="G33" s="76">
        <f t="shared" si="5"/>
        <v>30630218.806813475</v>
      </c>
      <c r="H33" s="471">
        <f t="shared" si="1"/>
        <v>3106819.8637098288</v>
      </c>
      <c r="I33" s="472">
        <f t="shared" si="2"/>
        <v>27523398.943103645</v>
      </c>
      <c r="J33" s="79">
        <f t="shared" si="3"/>
        <v>0.89857010544701887</v>
      </c>
      <c r="K33" s="124">
        <f>H33/ITA!B31*1000</f>
        <v>74.990560796331252</v>
      </c>
      <c r="M33" s="464">
        <f>'FY 19 State Pmt'!BL32</f>
        <v>19960960.789999995</v>
      </c>
      <c r="N33" s="465">
        <f>'Prop Tax'!K31</f>
        <v>3791746.6808839766</v>
      </c>
      <c r="O33" s="406">
        <f t="shared" si="4"/>
        <v>23752707.470883973</v>
      </c>
      <c r="P33" s="456"/>
      <c r="Q33" s="180">
        <f t="shared" si="0"/>
        <v>3770691.4722196721</v>
      </c>
      <c r="R33" s="456"/>
      <c r="S33" s="628">
        <f>-Q33/ITA!B31*1000</f>
        <v>-91.014696859201919</v>
      </c>
    </row>
    <row r="34" spans="1:19" x14ac:dyDescent="0.25">
      <c r="A34" s="125" t="s">
        <v>31</v>
      </c>
      <c r="B34" s="126">
        <v>25440.37</v>
      </c>
      <c r="C34" s="127">
        <v>1.6617471145703472E-2</v>
      </c>
      <c r="D34" s="128">
        <f>'Total Inst. Cost'!G32</f>
        <v>145638287.39121538</v>
      </c>
      <c r="E34" s="129">
        <f>Facilities!J42</f>
        <v>34412490.034997895</v>
      </c>
      <c r="F34" s="130">
        <f>'District Services'!K41</f>
        <v>4245528.1982150944</v>
      </c>
      <c r="G34" s="131">
        <f t="shared" si="5"/>
        <v>184296305.62442836</v>
      </c>
      <c r="H34" s="469">
        <f t="shared" si="1"/>
        <v>20402905.797672383</v>
      </c>
      <c r="I34" s="470">
        <f t="shared" si="2"/>
        <v>163893399.82675597</v>
      </c>
      <c r="J34" s="132">
        <f t="shared" si="3"/>
        <v>0.88929292028647156</v>
      </c>
      <c r="K34" s="134">
        <f>H34/ITA!B32*1000</f>
        <v>74.990560796331266</v>
      </c>
      <c r="L34" s="133"/>
      <c r="M34" s="462">
        <f>'FY 19 State Pmt'!BL33</f>
        <v>117212002.76000001</v>
      </c>
      <c r="N34" s="463">
        <f>'Prop Tax'!K32</f>
        <v>36629400.907962725</v>
      </c>
      <c r="O34" s="405">
        <f t="shared" si="4"/>
        <v>153841403.66796273</v>
      </c>
      <c r="P34" s="455"/>
      <c r="Q34" s="181">
        <f t="shared" si="0"/>
        <v>10051996.158793241</v>
      </c>
      <c r="R34" s="455"/>
      <c r="S34" s="627">
        <f>-Q34/ITA!B32*1000</f>
        <v>-36.945954490289751</v>
      </c>
    </row>
    <row r="35" spans="1:19" x14ac:dyDescent="0.25">
      <c r="A35" s="123" t="s">
        <v>32</v>
      </c>
      <c r="B35" s="47">
        <v>2145.29</v>
      </c>
      <c r="C35" s="73">
        <v>3.0939804900830281E-3</v>
      </c>
      <c r="D35" s="136">
        <f>'Total Inst. Cost'!G33</f>
        <v>13609514.380308764</v>
      </c>
      <c r="E35" s="137">
        <f>Facilities!J43</f>
        <v>3172807.4822966708</v>
      </c>
      <c r="F35" s="138">
        <f>'District Services'!K42</f>
        <v>1209721.7870783105</v>
      </c>
      <c r="G35" s="139">
        <f t="shared" si="5"/>
        <v>17992043.649683744</v>
      </c>
      <c r="H35" s="471">
        <f t="shared" si="1"/>
        <v>3798784.539807782</v>
      </c>
      <c r="I35" s="472">
        <f t="shared" si="2"/>
        <v>14193259.109875962</v>
      </c>
      <c r="J35" s="79">
        <f t="shared" si="3"/>
        <v>0.78886308783079484</v>
      </c>
      <c r="K35" s="124">
        <f>H35/ITA!B33*1000</f>
        <v>74.990560796331266</v>
      </c>
      <c r="M35" s="464">
        <f>'FY 19 State Pmt'!BL34</f>
        <v>9958914.410000002</v>
      </c>
      <c r="N35" s="465">
        <f>'Prop Tax'!K33</f>
        <v>4627985.1562803006</v>
      </c>
      <c r="O35" s="406">
        <f t="shared" si="4"/>
        <v>14586899.566280302</v>
      </c>
      <c r="P35" s="456"/>
      <c r="Q35" s="180">
        <f t="shared" si="0"/>
        <v>-393640.45640433952</v>
      </c>
      <c r="R35" s="456"/>
      <c r="S35" s="628">
        <f>-Q35/ITA!B33*1000</f>
        <v>7.7707272598774138</v>
      </c>
    </row>
    <row r="36" spans="1:19" x14ac:dyDescent="0.25">
      <c r="A36" s="125" t="s">
        <v>33</v>
      </c>
      <c r="B36" s="126">
        <v>3224.83</v>
      </c>
      <c r="C36" s="127">
        <v>3.0574571466720265E-3</v>
      </c>
      <c r="D36" s="128">
        <f>'Total Inst. Cost'!G34</f>
        <v>19085569.61418277</v>
      </c>
      <c r="E36" s="129">
        <f>Facilities!J44</f>
        <v>4478473.3312766002</v>
      </c>
      <c r="F36" s="130">
        <f>'District Services'!K43</f>
        <v>1246481.9607540763</v>
      </c>
      <c r="G36" s="131">
        <f t="shared" si="5"/>
        <v>24810524.906213447</v>
      </c>
      <c r="H36" s="469">
        <f t="shared" si="1"/>
        <v>3753941.2343194271</v>
      </c>
      <c r="I36" s="470">
        <f t="shared" si="2"/>
        <v>21056583.671894021</v>
      </c>
      <c r="J36" s="132">
        <f t="shared" si="3"/>
        <v>0.84869561411901828</v>
      </c>
      <c r="K36" s="134">
        <f>H36/ITA!B34*1000</f>
        <v>74.990560796331266</v>
      </c>
      <c r="L36" s="133"/>
      <c r="M36" s="462">
        <f>'FY 19 State Pmt'!BL35</f>
        <v>15323261.660000004</v>
      </c>
      <c r="N36" s="463">
        <f>'Prop Tax'!K34</f>
        <v>5884286.4031790094</v>
      </c>
      <c r="O36" s="405">
        <f t="shared" si="4"/>
        <v>21207548.063179012</v>
      </c>
      <c r="P36" s="455"/>
      <c r="Q36" s="181">
        <f t="shared" si="0"/>
        <v>-150964.39128499106</v>
      </c>
      <c r="R36" s="455"/>
      <c r="S36" s="627">
        <f>-Q36/ITA!B34*1000</f>
        <v>3.0157383017186983</v>
      </c>
    </row>
    <row r="37" spans="1:19" x14ac:dyDescent="0.25">
      <c r="A37" s="123" t="s">
        <v>34</v>
      </c>
      <c r="B37" s="47">
        <v>2373.3200000000002</v>
      </c>
      <c r="C37" s="73">
        <v>7.4956189631598833E-3</v>
      </c>
      <c r="D37" s="58">
        <f>'Total Inst. Cost'!G35</f>
        <v>15116588.429283798</v>
      </c>
      <c r="E37" s="56">
        <f>Facilities!J45</f>
        <v>3509966.456015307</v>
      </c>
      <c r="F37" s="55">
        <f>'District Services'!K44</f>
        <v>1220104.7832732918</v>
      </c>
      <c r="G37" s="76">
        <f t="shared" si="5"/>
        <v>19846659.668572396</v>
      </c>
      <c r="H37" s="471">
        <f t="shared" si="1"/>
        <v>9203109.5621994957</v>
      </c>
      <c r="I37" s="472">
        <f t="shared" si="2"/>
        <v>10643550.1063729</v>
      </c>
      <c r="J37" s="79">
        <f t="shared" si="3"/>
        <v>0.53628924383820553</v>
      </c>
      <c r="K37" s="124">
        <f>H37/ITA!B35*1000</f>
        <v>74.990560796331252</v>
      </c>
      <c r="M37" s="464">
        <f>'FY 19 State Pmt'!BL36</f>
        <v>8286479.2600000016</v>
      </c>
      <c r="N37" s="465">
        <f>'Prop Tax'!K35</f>
        <v>5274004.4155953424</v>
      </c>
      <c r="O37" s="406">
        <f t="shared" si="4"/>
        <v>13560483.675595343</v>
      </c>
      <c r="P37" s="456"/>
      <c r="Q37" s="180">
        <f t="shared" si="0"/>
        <v>-2916933.5692224428</v>
      </c>
      <c r="R37" s="456"/>
      <c r="S37" s="628">
        <f>-Q37/ITA!B35*1000</f>
        <v>23.768323378446965</v>
      </c>
    </row>
    <row r="38" spans="1:19" x14ac:dyDescent="0.25">
      <c r="A38" s="125" t="s">
        <v>35</v>
      </c>
      <c r="B38" s="126">
        <v>15667.43</v>
      </c>
      <c r="C38" s="127">
        <v>1.7605354884714434E-2</v>
      </c>
      <c r="D38" s="128">
        <f>'Total Inst. Cost'!G36</f>
        <v>95241841.180101097</v>
      </c>
      <c r="E38" s="129">
        <f>Facilities!J46</f>
        <v>22313111.417470753</v>
      </c>
      <c r="F38" s="130">
        <f>'District Services'!K45</f>
        <v>3900824.2210878227</v>
      </c>
      <c r="G38" s="131">
        <f t="shared" si="5"/>
        <v>121455776.81865968</v>
      </c>
      <c r="H38" s="469">
        <f t="shared" si="1"/>
        <v>21615827.949867871</v>
      </c>
      <c r="I38" s="470">
        <f t="shared" si="2"/>
        <v>99839948.868791804</v>
      </c>
      <c r="J38" s="132">
        <f t="shared" si="3"/>
        <v>0.82202717304964812</v>
      </c>
      <c r="K38" s="134">
        <f>H38/ITA!B36*1000</f>
        <v>74.990560796331266</v>
      </c>
      <c r="L38" s="133"/>
      <c r="M38" s="462">
        <f>'FY 19 State Pmt'!BL37</f>
        <v>71554098.519999996</v>
      </c>
      <c r="N38" s="463">
        <f>'Prop Tax'!K36</f>
        <v>24650523.897592634</v>
      </c>
      <c r="O38" s="405">
        <f t="shared" si="4"/>
        <v>96204622.41759263</v>
      </c>
      <c r="P38" s="455"/>
      <c r="Q38" s="181">
        <f t="shared" si="0"/>
        <v>3635326.4511991739</v>
      </c>
      <c r="R38" s="455"/>
      <c r="S38" s="627">
        <f>-Q38/ITA!B36*1000</f>
        <v>-12.611831010379097</v>
      </c>
    </row>
    <row r="39" spans="1:19" x14ac:dyDescent="0.25">
      <c r="A39" s="123" t="s">
        <v>36</v>
      </c>
      <c r="B39" s="47">
        <v>1091.3900000000001</v>
      </c>
      <c r="C39" s="73">
        <v>6.1616677105047447E-4</v>
      </c>
      <c r="D39" s="136">
        <f>'Total Inst. Cost'!G37</f>
        <v>6901363.2523968043</v>
      </c>
      <c r="E39" s="137">
        <f>Facilities!J47</f>
        <v>1586335.4984243049</v>
      </c>
      <c r="F39" s="138">
        <f>'District Services'!K46</f>
        <v>1160530.7137354382</v>
      </c>
      <c r="G39" s="139">
        <f t="shared" si="5"/>
        <v>9648229.4645565487</v>
      </c>
      <c r="H39" s="471">
        <f t="shared" si="1"/>
        <v>756528.62431172293</v>
      </c>
      <c r="I39" s="472">
        <f t="shared" si="2"/>
        <v>8891700.8402448259</v>
      </c>
      <c r="J39" s="79">
        <f t="shared" si="3"/>
        <v>0.92158886486988267</v>
      </c>
      <c r="K39" s="124">
        <f>H39/ITA!B37*1000</f>
        <v>74.990560796331252</v>
      </c>
      <c r="M39" s="464">
        <f>'FY 19 State Pmt'!BL38</f>
        <v>6152286.5500000007</v>
      </c>
      <c r="N39" s="465">
        <f>'Prop Tax'!K37</f>
        <v>1236738.5013549556</v>
      </c>
      <c r="O39" s="406">
        <f t="shared" si="4"/>
        <v>7389025.0513549559</v>
      </c>
      <c r="P39" s="456"/>
      <c r="Q39" s="180">
        <f t="shared" ref="Q39:Q70" si="6">I39-O39</f>
        <v>1502675.78888987</v>
      </c>
      <c r="R39" s="456"/>
      <c r="S39" s="628">
        <f>-Q39/ITA!B37*1000</f>
        <v>-148.95206404971276</v>
      </c>
    </row>
    <row r="40" spans="1:19" x14ac:dyDescent="0.25">
      <c r="A40" s="125" t="s">
        <v>37</v>
      </c>
      <c r="B40" s="126">
        <v>3269.06</v>
      </c>
      <c r="C40" s="127">
        <v>2.5489814251816044E-3</v>
      </c>
      <c r="D40" s="128">
        <f>'Total Inst. Cost'!G38</f>
        <v>21487426.541385647</v>
      </c>
      <c r="E40" s="129">
        <f>Facilities!J48</f>
        <v>4940404.497127967</v>
      </c>
      <c r="F40" s="130">
        <f>'District Services'!K47</f>
        <v>1265414.4321673247</v>
      </c>
      <c r="G40" s="131">
        <f t="shared" si="5"/>
        <v>27693245.470680941</v>
      </c>
      <c r="H40" s="469">
        <f t="shared" si="1"/>
        <v>3129635.5168604301</v>
      </c>
      <c r="I40" s="470">
        <f t="shared" si="2"/>
        <v>24563609.953820512</v>
      </c>
      <c r="J40" s="132">
        <f t="shared" si="3"/>
        <v>0.88698921113548068</v>
      </c>
      <c r="K40" s="134">
        <f>H40/ITA!B38*1000</f>
        <v>74.990560796331252</v>
      </c>
      <c r="L40" s="133"/>
      <c r="M40" s="462">
        <f>'FY 19 State Pmt'!BL39</f>
        <v>17287554.440000001</v>
      </c>
      <c r="N40" s="463">
        <f>'Prop Tax'!K38</f>
        <v>4641495.6863175193</v>
      </c>
      <c r="O40" s="405">
        <f t="shared" si="4"/>
        <v>21929050.12631752</v>
      </c>
      <c r="P40" s="455"/>
      <c r="Q40" s="181">
        <f t="shared" si="6"/>
        <v>2634559.827502992</v>
      </c>
      <c r="R40" s="455"/>
      <c r="S40" s="627">
        <f>-Q40/ITA!B38*1000</f>
        <v>-63.127836405093383</v>
      </c>
    </row>
    <row r="41" spans="1:19" x14ac:dyDescent="0.25">
      <c r="A41" s="123" t="s">
        <v>38</v>
      </c>
      <c r="B41" s="47">
        <v>656.05</v>
      </c>
      <c r="C41" s="73">
        <v>1.2588740524905177E-3</v>
      </c>
      <c r="D41" s="58">
        <f>'Total Inst. Cost'!G39</f>
        <v>4359259.7650853181</v>
      </c>
      <c r="E41" s="56">
        <f>Facilities!J49</f>
        <v>1006650.3457845399</v>
      </c>
      <c r="F41" s="55">
        <f>'District Services'!K48</f>
        <v>1143438.6625571724</v>
      </c>
      <c r="G41" s="76">
        <f t="shared" si="5"/>
        <v>6509348.773427031</v>
      </c>
      <c r="H41" s="471">
        <f t="shared" si="1"/>
        <v>1545643.6469118837</v>
      </c>
      <c r="I41" s="472">
        <f t="shared" si="2"/>
        <v>4963705.1265151473</v>
      </c>
      <c r="J41" s="79">
        <f t="shared" si="3"/>
        <v>0.7625501873210988</v>
      </c>
      <c r="K41" s="124">
        <f>H41/ITA!B39*1000</f>
        <v>74.990560796331266</v>
      </c>
      <c r="M41" s="464">
        <f>'FY 19 State Pmt'!BL40</f>
        <v>3063475.7100000009</v>
      </c>
      <c r="N41" s="465">
        <f>'Prop Tax'!K39</f>
        <v>963938.42359478248</v>
      </c>
      <c r="O41" s="406">
        <f t="shared" si="4"/>
        <v>4027414.1335947835</v>
      </c>
      <c r="P41" s="456"/>
      <c r="Q41" s="180">
        <f t="shared" si="6"/>
        <v>936290.99292036379</v>
      </c>
      <c r="R41" s="456"/>
      <c r="S41" s="628">
        <f>-Q41/ITA!B39*1000</f>
        <v>-45.426374163238613</v>
      </c>
    </row>
    <row r="42" spans="1:19" x14ac:dyDescent="0.25">
      <c r="A42" s="125" t="s">
        <v>39</v>
      </c>
      <c r="B42" s="126">
        <v>1181.8699999999999</v>
      </c>
      <c r="C42" s="127">
        <v>5.7020509834640335E-4</v>
      </c>
      <c r="D42" s="128">
        <f>'Total Inst. Cost'!G40</f>
        <v>7511964.4734300347</v>
      </c>
      <c r="E42" s="129">
        <f>Facilities!J50</f>
        <v>1745780.9869534641</v>
      </c>
      <c r="F42" s="130">
        <f>'District Services'!K49</f>
        <v>1165745.5718244168</v>
      </c>
      <c r="G42" s="131">
        <f t="shared" si="5"/>
        <v>10423491.032207916</v>
      </c>
      <c r="H42" s="469">
        <f t="shared" si="1"/>
        <v>700096.95247295022</v>
      </c>
      <c r="I42" s="470">
        <f t="shared" si="2"/>
        <v>9723394.0797349662</v>
      </c>
      <c r="J42" s="132">
        <f t="shared" si="3"/>
        <v>0.9328346951794082</v>
      </c>
      <c r="K42" s="134">
        <f>H42/ITA!B40*1000</f>
        <v>74.990560796331266</v>
      </c>
      <c r="L42" s="133"/>
      <c r="M42" s="462">
        <f>'FY 19 State Pmt'!BL41</f>
        <v>6516311.75</v>
      </c>
      <c r="N42" s="463">
        <f>'Prop Tax'!K40</f>
        <v>1315242.0961248472</v>
      </c>
      <c r="O42" s="405">
        <f t="shared" si="4"/>
        <v>7831553.8461248474</v>
      </c>
      <c r="P42" s="455"/>
      <c r="Q42" s="181">
        <f t="shared" si="6"/>
        <v>1891840.2336101187</v>
      </c>
      <c r="R42" s="455"/>
      <c r="S42" s="627">
        <f>-Q42/ITA!B40*1000</f>
        <v>-202.64359036895911</v>
      </c>
    </row>
    <row r="43" spans="1:19" x14ac:dyDescent="0.25">
      <c r="A43" s="123" t="s">
        <v>40</v>
      </c>
      <c r="B43" s="47">
        <v>8929.7900000000009</v>
      </c>
      <c r="C43" s="73">
        <v>2.514733014072297E-2</v>
      </c>
      <c r="D43" s="136">
        <f>'Total Inst. Cost'!G41</f>
        <v>54389047.963759944</v>
      </c>
      <c r="E43" s="137">
        <f>Facilities!J51</f>
        <v>12735430.750214107</v>
      </c>
      <c r="F43" s="138">
        <f>'District Services'!K50</f>
        <v>2403698.1471939194</v>
      </c>
      <c r="G43" s="139">
        <f t="shared" si="5"/>
        <v>69528176.861167982</v>
      </c>
      <c r="H43" s="471">
        <f t="shared" si="1"/>
        <v>30875853.697919443</v>
      </c>
      <c r="I43" s="472">
        <f t="shared" si="2"/>
        <v>38652323.163248539</v>
      </c>
      <c r="J43" s="79">
        <f t="shared" si="3"/>
        <v>0.55592315098997158</v>
      </c>
      <c r="K43" s="124">
        <f>H43/ITA!B41*1000</f>
        <v>74.990560796331266</v>
      </c>
      <c r="M43" s="464">
        <f>'FY 19 State Pmt'!BL42</f>
        <v>25547812.140000001</v>
      </c>
      <c r="N43" s="465">
        <f>'Prop Tax'!K41</f>
        <v>18178133.85067866</v>
      </c>
      <c r="O43" s="406">
        <f t="shared" si="4"/>
        <v>43725945.990678661</v>
      </c>
      <c r="P43" s="456"/>
      <c r="Q43" s="180">
        <f t="shared" si="6"/>
        <v>-5073622.8274301216</v>
      </c>
      <c r="R43" s="456"/>
      <c r="S43" s="628">
        <f>-Q43/ITA!B41*1000</f>
        <v>12.322698015753673</v>
      </c>
    </row>
    <row r="44" spans="1:19" x14ac:dyDescent="0.25">
      <c r="A44" s="125" t="s">
        <v>41</v>
      </c>
      <c r="B44" s="126">
        <v>74161.66</v>
      </c>
      <c r="C44" s="127">
        <v>9.057358888882347E-2</v>
      </c>
      <c r="D44" s="128">
        <f>'Total Inst. Cost'!G42</f>
        <v>439248598.18830931</v>
      </c>
      <c r="E44" s="129">
        <f>Facilities!J52</f>
        <v>102976071.05592912</v>
      </c>
      <c r="F44" s="130">
        <f>'District Services'!K51</f>
        <v>6315738.6643595546</v>
      </c>
      <c r="G44" s="131">
        <f t="shared" si="5"/>
        <v>548540407.90859795</v>
      </c>
      <c r="H44" s="469">
        <f t="shared" si="1"/>
        <v>111206114.67609328</v>
      </c>
      <c r="I44" s="470">
        <f t="shared" si="2"/>
        <v>437334293.23250467</v>
      </c>
      <c r="J44" s="132">
        <f t="shared" si="3"/>
        <v>0.79726905607540344</v>
      </c>
      <c r="K44" s="134">
        <f>H44/ITA!B42*1000</f>
        <v>74.990560796331266</v>
      </c>
      <c r="L44" s="133"/>
      <c r="M44" s="462">
        <f>'FY 19 State Pmt'!BL43</f>
        <v>312192347.17000008</v>
      </c>
      <c r="N44" s="463">
        <f>'Prop Tax'!K42</f>
        <v>107192735.60479175</v>
      </c>
      <c r="O44" s="405">
        <f t="shared" si="4"/>
        <v>419385082.77479184</v>
      </c>
      <c r="P44" s="455"/>
      <c r="Q44" s="181">
        <f t="shared" si="6"/>
        <v>17949210.457712829</v>
      </c>
      <c r="R44" s="455"/>
      <c r="S44" s="627">
        <f>-Q44/ITA!B42*1000</f>
        <v>-12.103843048520982</v>
      </c>
    </row>
    <row r="45" spans="1:19" x14ac:dyDescent="0.25">
      <c r="A45" s="123" t="s">
        <v>42</v>
      </c>
      <c r="B45" s="47">
        <v>8515.0300000000007</v>
      </c>
      <c r="C45" s="73">
        <v>8.4135443867481355E-3</v>
      </c>
      <c r="D45" s="58">
        <f>'Total Inst. Cost'!G43</f>
        <v>50989546.371860631</v>
      </c>
      <c r="E45" s="56">
        <f>Facilities!J53</f>
        <v>11945026.852032728</v>
      </c>
      <c r="F45" s="55">
        <f>'District Services'!K52</f>
        <v>2226411.9481925732</v>
      </c>
      <c r="G45" s="76">
        <f t="shared" si="5"/>
        <v>65160985.172085933</v>
      </c>
      <c r="H45" s="471">
        <f t="shared" si="1"/>
        <v>10330137.001124939</v>
      </c>
      <c r="I45" s="472">
        <f t="shared" si="2"/>
        <v>54830848.170960993</v>
      </c>
      <c r="J45" s="79">
        <f t="shared" si="3"/>
        <v>0.84146745212885099</v>
      </c>
      <c r="K45" s="124">
        <f>H45/ITA!B43*1000</f>
        <v>74.990560796331266</v>
      </c>
      <c r="M45" s="464">
        <f>'FY 19 State Pmt'!BL44</f>
        <v>38811652.43</v>
      </c>
      <c r="N45" s="465">
        <f>'Prop Tax'!K43</f>
        <v>14050315.503341394</v>
      </c>
      <c r="O45" s="406">
        <f t="shared" si="4"/>
        <v>52861967.933341391</v>
      </c>
      <c r="P45" s="456"/>
      <c r="Q45" s="180">
        <f t="shared" si="6"/>
        <v>1968880.2376196012</v>
      </c>
      <c r="R45" s="456"/>
      <c r="S45" s="628">
        <f>-Q45/ITA!B43*1000</f>
        <v>-14.292882383247116</v>
      </c>
    </row>
    <row r="46" spans="1:19" x14ac:dyDescent="0.25">
      <c r="A46" s="125" t="s">
        <v>43</v>
      </c>
      <c r="B46" s="126">
        <v>898.58</v>
      </c>
      <c r="C46" s="127">
        <v>5.5738791422924082E-4</v>
      </c>
      <c r="D46" s="128">
        <f>'Total Inst. Cost'!G44</f>
        <v>5648913.7126899865</v>
      </c>
      <c r="E46" s="129">
        <f>Facilities!J54</f>
        <v>1307510.4353942501</v>
      </c>
      <c r="F46" s="130">
        <f>'District Services'!K53</f>
        <v>1152018.4346966522</v>
      </c>
      <c r="G46" s="131">
        <f t="shared" si="5"/>
        <v>8108442.5827808883</v>
      </c>
      <c r="H46" s="469">
        <f t="shared" si="1"/>
        <v>684360.03330871835</v>
      </c>
      <c r="I46" s="470">
        <f t="shared" si="2"/>
        <v>7424082.54947217</v>
      </c>
      <c r="J46" s="132">
        <f t="shared" si="3"/>
        <v>0.91559907758833647</v>
      </c>
      <c r="K46" s="134">
        <f>H46/ITA!B44*1000</f>
        <v>74.990560796331252</v>
      </c>
      <c r="L46" s="133"/>
      <c r="M46" s="462">
        <f>'FY 19 State Pmt'!BL45</f>
        <v>4824796.6100000003</v>
      </c>
      <c r="N46" s="463">
        <f>'Prop Tax'!K44</f>
        <v>1374918.1913816843</v>
      </c>
      <c r="O46" s="405">
        <f t="shared" si="4"/>
        <v>6199714.8013816848</v>
      </c>
      <c r="P46" s="455"/>
      <c r="Q46" s="181">
        <f t="shared" si="6"/>
        <v>1224367.7480904851</v>
      </c>
      <c r="R46" s="455"/>
      <c r="S46" s="627">
        <f>-Q46/ITA!B44*1000</f>
        <v>-134.16333447518556</v>
      </c>
    </row>
    <row r="47" spans="1:19" x14ac:dyDescent="0.25">
      <c r="A47" s="123" t="s">
        <v>44</v>
      </c>
      <c r="B47" s="47">
        <v>1516.32</v>
      </c>
      <c r="C47" s="73">
        <v>2.9505436716454336E-3</v>
      </c>
      <c r="D47" s="136">
        <f>'Total Inst. Cost'!G45</f>
        <v>8926769.2633693255</v>
      </c>
      <c r="E47" s="137">
        <f>Facilities!J55</f>
        <v>2098667.9578444017</v>
      </c>
      <c r="F47" s="138">
        <f>'District Services'!K54</f>
        <v>1174931.8027035149</v>
      </c>
      <c r="G47" s="139">
        <f t="shared" si="5"/>
        <v>12200369.023917243</v>
      </c>
      <c r="H47" s="471">
        <f t="shared" si="1"/>
        <v>3622673.0322961984</v>
      </c>
      <c r="I47" s="472">
        <f t="shared" si="2"/>
        <v>8577695.9916210435</v>
      </c>
      <c r="J47" s="79">
        <f t="shared" si="3"/>
        <v>0.70306856905767212</v>
      </c>
      <c r="K47" s="124">
        <f>H47/ITA!B45*1000</f>
        <v>74.990560796331252</v>
      </c>
      <c r="M47" s="464">
        <f>'FY 19 State Pmt'!BL46</f>
        <v>6186039.8999999994</v>
      </c>
      <c r="N47" s="465">
        <f>'Prop Tax'!K45</f>
        <v>2968849.4208436767</v>
      </c>
      <c r="O47" s="406">
        <f t="shared" si="4"/>
        <v>9154889.3208436761</v>
      </c>
      <c r="P47" s="456"/>
      <c r="Q47" s="180">
        <f t="shared" si="6"/>
        <v>-577193.32922263257</v>
      </c>
      <c r="R47" s="456"/>
      <c r="S47" s="628">
        <f>-Q47/ITA!B45*1000</f>
        <v>11.948097733477058</v>
      </c>
    </row>
    <row r="48" spans="1:19" x14ac:dyDescent="0.25">
      <c r="A48" s="125" t="s">
        <v>45</v>
      </c>
      <c r="B48" s="126">
        <v>2087.65</v>
      </c>
      <c r="C48" s="127">
        <v>1.5649522717339638E-3</v>
      </c>
      <c r="D48" s="128">
        <f>'Total Inst. Cost'!G46</f>
        <v>12490916.49882987</v>
      </c>
      <c r="E48" s="129">
        <f>Facilities!J56</f>
        <v>2940462.4863311071</v>
      </c>
      <c r="F48" s="130">
        <f>'District Services'!K55</f>
        <v>1200820.2096142164</v>
      </c>
      <c r="G48" s="131">
        <f t="shared" si="5"/>
        <v>16632199.194775194</v>
      </c>
      <c r="H48" s="469">
        <f t="shared" si="1"/>
        <v>1921446.0189568016</v>
      </c>
      <c r="I48" s="470">
        <f t="shared" si="2"/>
        <v>14710753.175818393</v>
      </c>
      <c r="J48" s="132">
        <f t="shared" si="3"/>
        <v>0.88447432618769983</v>
      </c>
      <c r="K48" s="134">
        <f>H48/ITA!B46*1000</f>
        <v>74.990560796331266</v>
      </c>
      <c r="L48" s="133"/>
      <c r="M48" s="462">
        <f>'FY 19 State Pmt'!BL47</f>
        <v>10893818.889999999</v>
      </c>
      <c r="N48" s="463">
        <f>'Prop Tax'!K46</f>
        <v>3170449.9538453948</v>
      </c>
      <c r="O48" s="405">
        <f t="shared" si="4"/>
        <v>14064268.843845394</v>
      </c>
      <c r="P48" s="455"/>
      <c r="Q48" s="181">
        <f t="shared" si="6"/>
        <v>646484.3319729995</v>
      </c>
      <c r="R48" s="455"/>
      <c r="S48" s="627">
        <f>-Q48/ITA!B46*1000</f>
        <v>-25.231113506388212</v>
      </c>
    </row>
    <row r="49" spans="1:19" x14ac:dyDescent="0.25">
      <c r="A49" s="123" t="s">
        <v>46</v>
      </c>
      <c r="B49" s="47">
        <v>662.1</v>
      </c>
      <c r="C49" s="73">
        <v>7.6481867090661109E-4</v>
      </c>
      <c r="D49" s="58">
        <f>'Total Inst. Cost'!G47</f>
        <v>4295635.3025124501</v>
      </c>
      <c r="E49" s="56">
        <f>Facilities!J57</f>
        <v>999962.20649067266</v>
      </c>
      <c r="F49" s="55">
        <f>'District Services'!K56</f>
        <v>1143047.1204426477</v>
      </c>
      <c r="G49" s="76">
        <f t="shared" si="5"/>
        <v>6438644.6294457708</v>
      </c>
      <c r="H49" s="471">
        <f t="shared" si="1"/>
        <v>939043.20085690101</v>
      </c>
      <c r="I49" s="472">
        <f t="shared" si="2"/>
        <v>5499601.42858887</v>
      </c>
      <c r="J49" s="79">
        <f t="shared" si="3"/>
        <v>0.85415514368313072</v>
      </c>
      <c r="K49" s="124">
        <f>H49/ITA!B47*1000</f>
        <v>74.990560796331252</v>
      </c>
      <c r="M49" s="464">
        <f>'FY 19 State Pmt'!BL48</f>
        <v>3627758.8199999989</v>
      </c>
      <c r="N49" s="465">
        <f>'Prop Tax'!K47</f>
        <v>1585720.2533301685</v>
      </c>
      <c r="O49" s="406">
        <f t="shared" si="4"/>
        <v>5213479.0733301677</v>
      </c>
      <c r="P49" s="456"/>
      <c r="Q49" s="180">
        <f t="shared" si="6"/>
        <v>286122.3552587023</v>
      </c>
      <c r="R49" s="456"/>
      <c r="S49" s="628">
        <f>-Q49/ITA!B47*1000</f>
        <v>-22.849295812628878</v>
      </c>
    </row>
    <row r="50" spans="1:19" x14ac:dyDescent="0.25">
      <c r="A50" s="125" t="s">
        <v>47</v>
      </c>
      <c r="B50" s="126">
        <v>43529.94</v>
      </c>
      <c r="C50" s="127">
        <v>9.9572740897162254E-2</v>
      </c>
      <c r="D50" s="128">
        <f>'Total Inst. Cost'!G48</f>
        <v>259925256.60418406</v>
      </c>
      <c r="E50" s="129">
        <f>Facilities!J58</f>
        <v>61206925.01893384</v>
      </c>
      <c r="F50" s="130">
        <f>'District Services'!K57</f>
        <v>5071243.6453510327</v>
      </c>
      <c r="G50" s="131">
        <f t="shared" si="5"/>
        <v>326203425.26846898</v>
      </c>
      <c r="H50" s="469">
        <f t="shared" si="1"/>
        <v>122255259.82430334</v>
      </c>
      <c r="I50" s="470">
        <f t="shared" si="2"/>
        <v>203948165.44416565</v>
      </c>
      <c r="J50" s="132">
        <f t="shared" si="3"/>
        <v>0.62521773116365675</v>
      </c>
      <c r="K50" s="134">
        <f>H50/ITA!B48*1000</f>
        <v>74.990560796331252</v>
      </c>
      <c r="L50" s="133"/>
      <c r="M50" s="462">
        <f>'FY 19 State Pmt'!BL49</f>
        <v>148180881.41999999</v>
      </c>
      <c r="N50" s="463">
        <f>'Prop Tax'!K48</f>
        <v>54556587.447544195</v>
      </c>
      <c r="O50" s="405">
        <f t="shared" si="4"/>
        <v>202737468.86754417</v>
      </c>
      <c r="P50" s="455"/>
      <c r="Q50" s="181">
        <f t="shared" si="6"/>
        <v>1210696.5766214728</v>
      </c>
      <c r="R50" s="455"/>
      <c r="S50" s="627">
        <f>-Q50/ITA!B48*1000</f>
        <v>-0.74263320339362782</v>
      </c>
    </row>
    <row r="51" spans="1:19" x14ac:dyDescent="0.25">
      <c r="A51" s="123" t="s">
        <v>48</v>
      </c>
      <c r="B51" s="47">
        <v>2404.8000000000002</v>
      </c>
      <c r="C51" s="73">
        <v>6.2600896758453449E-3</v>
      </c>
      <c r="D51" s="136">
        <f>'Total Inst. Cost'!G49</f>
        <v>15030572.768357413</v>
      </c>
      <c r="E51" s="137">
        <f>Facilities!J59</f>
        <v>3457626.2679540794</v>
      </c>
      <c r="F51" s="138">
        <f>'District Services'!K58</f>
        <v>1217319.1182682149</v>
      </c>
      <c r="G51" s="139">
        <f t="shared" si="5"/>
        <v>19705518.154579706</v>
      </c>
      <c r="H51" s="471">
        <f t="shared" si="1"/>
        <v>7686128.5824635047</v>
      </c>
      <c r="I51" s="472">
        <f t="shared" si="2"/>
        <v>12019389.572116202</v>
      </c>
      <c r="J51" s="79">
        <f t="shared" si="3"/>
        <v>0.60995044524230424</v>
      </c>
      <c r="K51" s="124">
        <f>H51/ITA!B49*1000</f>
        <v>74.990560796331266</v>
      </c>
      <c r="M51" s="464">
        <f>'FY 19 State Pmt'!BL50</f>
        <v>8705314.7899999991</v>
      </c>
      <c r="N51" s="465">
        <f>'Prop Tax'!K49</f>
        <v>3930111.2477237014</v>
      </c>
      <c r="O51" s="406">
        <f t="shared" si="4"/>
        <v>12635426.037723701</v>
      </c>
      <c r="P51" s="456"/>
      <c r="Q51" s="180">
        <f t="shared" si="6"/>
        <v>-616036.4656074997</v>
      </c>
      <c r="R51" s="456"/>
      <c r="S51" s="628">
        <f>-Q51/ITA!B49*1000</f>
        <v>6.0104276855708703</v>
      </c>
    </row>
    <row r="52" spans="1:19" x14ac:dyDescent="0.25">
      <c r="A52" s="125" t="s">
        <v>49</v>
      </c>
      <c r="B52" s="126">
        <v>10525.82</v>
      </c>
      <c r="C52" s="127">
        <v>8.7248394586505185E-3</v>
      </c>
      <c r="D52" s="128">
        <f>'Total Inst. Cost'!G50</f>
        <v>62579152.539829418</v>
      </c>
      <c r="E52" s="129">
        <f>Facilities!J60</f>
        <v>14655736.876247827</v>
      </c>
      <c r="F52" s="130">
        <f>'District Services'!K59</f>
        <v>2759302.2922234498</v>
      </c>
      <c r="G52" s="131">
        <f t="shared" si="5"/>
        <v>79994191.708300695</v>
      </c>
      <c r="H52" s="469">
        <f t="shared" si="1"/>
        <v>10712344.616929715</v>
      </c>
      <c r="I52" s="470">
        <f t="shared" si="2"/>
        <v>69281847.091370985</v>
      </c>
      <c r="J52" s="132">
        <f t="shared" si="3"/>
        <v>0.86608596964149176</v>
      </c>
      <c r="K52" s="134">
        <f>H52/ITA!B50*1000</f>
        <v>74.990560796331266</v>
      </c>
      <c r="L52" s="133"/>
      <c r="M52" s="462">
        <f>'FY 19 State Pmt'!BL51</f>
        <v>49922078.980000004</v>
      </c>
      <c r="N52" s="463">
        <f>'Prop Tax'!K50</f>
        <v>15366186.393296137</v>
      </c>
      <c r="O52" s="405">
        <f t="shared" si="4"/>
        <v>65288265.373296142</v>
      </c>
      <c r="P52" s="455"/>
      <c r="Q52" s="181">
        <f t="shared" si="6"/>
        <v>3993581.7180748433</v>
      </c>
      <c r="R52" s="455"/>
      <c r="S52" s="627">
        <f>-Q52/ITA!B50*1000</f>
        <v>-27.956618586664117</v>
      </c>
    </row>
    <row r="53" spans="1:19" x14ac:dyDescent="0.25">
      <c r="A53" s="123" t="s">
        <v>50</v>
      </c>
      <c r="B53" s="47">
        <v>13258.42</v>
      </c>
      <c r="C53" s="73">
        <v>1.2120208595260508E-2</v>
      </c>
      <c r="D53" s="58">
        <f>'Total Inst. Cost'!G51</f>
        <v>77889996.458737433</v>
      </c>
      <c r="E53" s="56">
        <f>Facilities!J61</f>
        <v>18358153.718373217</v>
      </c>
      <c r="F53" s="55">
        <f>'District Services'!K60</f>
        <v>3623520.8927567909</v>
      </c>
      <c r="G53" s="76">
        <f t="shared" si="5"/>
        <v>99871671.069867432</v>
      </c>
      <c r="H53" s="471">
        <f t="shared" si="1"/>
        <v>14881173.678533912</v>
      </c>
      <c r="I53" s="472">
        <f t="shared" si="2"/>
        <v>84990497.39133352</v>
      </c>
      <c r="J53" s="79">
        <f t="shared" si="3"/>
        <v>0.85099704932219011</v>
      </c>
      <c r="K53" s="124">
        <f>H53/ITA!B51*1000</f>
        <v>74.990560796331266</v>
      </c>
      <c r="M53" s="464">
        <f>'FY 19 State Pmt'!BL52</f>
        <v>59816227.270000026</v>
      </c>
      <c r="N53" s="465">
        <f>'Prop Tax'!K51</f>
        <v>16083032.14527007</v>
      </c>
      <c r="O53" s="406">
        <f t="shared" si="4"/>
        <v>75899259.41527009</v>
      </c>
      <c r="P53" s="456"/>
      <c r="Q53" s="180">
        <f t="shared" si="6"/>
        <v>9091237.9760634303</v>
      </c>
      <c r="R53" s="456"/>
      <c r="S53" s="628">
        <f>-Q53/ITA!B51*1000</f>
        <v>-45.813391395420275</v>
      </c>
    </row>
    <row r="54" spans="1:19" x14ac:dyDescent="0.25">
      <c r="A54" s="125" t="s">
        <v>51</v>
      </c>
      <c r="B54" s="126">
        <v>5388.16</v>
      </c>
      <c r="C54" s="127">
        <v>4.465096153017694E-3</v>
      </c>
      <c r="D54" s="128">
        <f>'Total Inst. Cost'!G52</f>
        <v>33626901.71245192</v>
      </c>
      <c r="E54" s="129">
        <f>Facilities!J62</f>
        <v>7772001.6417559087</v>
      </c>
      <c r="F54" s="130">
        <f>'District Services'!K61</f>
        <v>1349034.3350494609</v>
      </c>
      <c r="G54" s="131">
        <f t="shared" si="5"/>
        <v>42747937.689257286</v>
      </c>
      <c r="H54" s="469">
        <f t="shared" si="1"/>
        <v>5482238.2653045226</v>
      </c>
      <c r="I54" s="470">
        <f t="shared" si="2"/>
        <v>37265699.423952766</v>
      </c>
      <c r="J54" s="132">
        <f t="shared" si="3"/>
        <v>0.87175432169018463</v>
      </c>
      <c r="K54" s="134">
        <f>H54/ITA!B52*1000</f>
        <v>74.990560796331252</v>
      </c>
      <c r="L54" s="133"/>
      <c r="M54" s="462">
        <f>'FY 19 State Pmt'!BL53</f>
        <v>27442931.940000001</v>
      </c>
      <c r="N54" s="463">
        <f>'Prop Tax'!K52</f>
        <v>7563163.644267695</v>
      </c>
      <c r="O54" s="405">
        <f t="shared" si="4"/>
        <v>35006095.584267698</v>
      </c>
      <c r="P54" s="455"/>
      <c r="Q54" s="181">
        <f t="shared" si="6"/>
        <v>2259603.8396850675</v>
      </c>
      <c r="R54" s="455"/>
      <c r="S54" s="627">
        <f>-Q54/ITA!B52*1000</f>
        <v>-30.908718467768782</v>
      </c>
    </row>
    <row r="55" spans="1:19" x14ac:dyDescent="0.25">
      <c r="A55" s="123" t="s">
        <v>52</v>
      </c>
      <c r="B55" s="47">
        <v>2979.52</v>
      </c>
      <c r="C55" s="73">
        <v>2.3726243938374772E-3</v>
      </c>
      <c r="D55" s="136">
        <f>'Total Inst. Cost'!G53</f>
        <v>19091765.19578898</v>
      </c>
      <c r="E55" s="137">
        <f>Facilities!J63</f>
        <v>4427579.6172468383</v>
      </c>
      <c r="F55" s="138">
        <f>'District Services'!K62</f>
        <v>1248616.053971905</v>
      </c>
      <c r="G55" s="139">
        <f t="shared" si="5"/>
        <v>24767960.867007721</v>
      </c>
      <c r="H55" s="471">
        <f t="shared" si="1"/>
        <v>2913104.6220135503</v>
      </c>
      <c r="I55" s="472">
        <f t="shared" si="2"/>
        <v>21854856.244994171</v>
      </c>
      <c r="J55" s="79">
        <f t="shared" si="3"/>
        <v>0.88238415598056097</v>
      </c>
      <c r="K55" s="124">
        <f>H55/ITA!B53*1000</f>
        <v>74.990560796331266</v>
      </c>
      <c r="M55" s="464">
        <f>'FY 19 State Pmt'!BL54</f>
        <v>15494870.219999997</v>
      </c>
      <c r="N55" s="465">
        <f>'Prop Tax'!K53</f>
        <v>3874066.4311927739</v>
      </c>
      <c r="O55" s="406">
        <f t="shared" si="4"/>
        <v>19368936.651192769</v>
      </c>
      <c r="P55" s="456"/>
      <c r="Q55" s="180">
        <f t="shared" si="6"/>
        <v>2485919.5938014016</v>
      </c>
      <c r="R55" s="456"/>
      <c r="S55" s="628">
        <f>-Q55/ITA!B53*1000</f>
        <v>-63.993755330661791</v>
      </c>
    </row>
    <row r="56" spans="1:19" x14ac:dyDescent="0.25">
      <c r="A56" s="125" t="s">
        <v>53</v>
      </c>
      <c r="B56" s="126">
        <v>1729.85</v>
      </c>
      <c r="C56" s="127">
        <v>1.6673044362795805E-3</v>
      </c>
      <c r="D56" s="128">
        <f>'Total Inst. Cost'!G54</f>
        <v>10908566.86079569</v>
      </c>
      <c r="E56" s="129">
        <f>Facilities!J64</f>
        <v>2531396.1516253799</v>
      </c>
      <c r="F56" s="130">
        <f>'District Services'!K63</f>
        <v>1189646.8528093267</v>
      </c>
      <c r="G56" s="131">
        <f t="shared" si="5"/>
        <v>14629609.865230396</v>
      </c>
      <c r="H56" s="469">
        <f t="shared" si="1"/>
        <v>2047113.8509091993</v>
      </c>
      <c r="I56" s="470">
        <f t="shared" si="2"/>
        <v>12582496.014321197</v>
      </c>
      <c r="J56" s="132">
        <f t="shared" si="3"/>
        <v>0.86007050975607402</v>
      </c>
      <c r="K56" s="134">
        <f>H56/ITA!B54*1000</f>
        <v>74.990560796331266</v>
      </c>
      <c r="L56" s="133"/>
      <c r="M56" s="462">
        <f>'FY 19 State Pmt'!BL55</f>
        <v>8921745.120000001</v>
      </c>
      <c r="N56" s="463">
        <f>'Prop Tax'!K54</f>
        <v>3888122.1268320875</v>
      </c>
      <c r="O56" s="405">
        <f t="shared" si="4"/>
        <v>12809867.246832088</v>
      </c>
      <c r="P56" s="455"/>
      <c r="Q56" s="181">
        <f t="shared" si="6"/>
        <v>-227371.23251089081</v>
      </c>
      <c r="R56" s="455"/>
      <c r="S56" s="627">
        <f>-Q56/ITA!B54*1000</f>
        <v>8.3291392060934388</v>
      </c>
    </row>
    <row r="57" spans="1:19" x14ac:dyDescent="0.25">
      <c r="A57" s="123" t="s">
        <v>54</v>
      </c>
      <c r="B57" s="47">
        <v>25998.85</v>
      </c>
      <c r="C57" s="73">
        <v>1.8670234871242253E-2</v>
      </c>
      <c r="D57" s="58">
        <f>'Total Inst. Cost'!G55</f>
        <v>149246473.9936707</v>
      </c>
      <c r="E57" s="56">
        <f>Facilities!J65</f>
        <v>35076499.807726398</v>
      </c>
      <c r="F57" s="55">
        <f>'District Services'!K64</f>
        <v>4264056.7707009455</v>
      </c>
      <c r="G57" s="76">
        <f t="shared" si="5"/>
        <v>188587030.57209802</v>
      </c>
      <c r="H57" s="471">
        <f t="shared" si="1"/>
        <v>22923285.977653958</v>
      </c>
      <c r="I57" s="472">
        <f t="shared" si="2"/>
        <v>165663744.59444407</v>
      </c>
      <c r="J57" s="79">
        <f t="shared" si="3"/>
        <v>0.87844717683865203</v>
      </c>
      <c r="K57" s="124">
        <f>H57/ITA!B55*1000</f>
        <v>74.990560796331266</v>
      </c>
      <c r="M57" s="464">
        <f>'FY 19 State Pmt'!BL56</f>
        <v>122984146.39</v>
      </c>
      <c r="N57" s="465">
        <f>'Prop Tax'!K55</f>
        <v>51162915.513940655</v>
      </c>
      <c r="O57" s="406">
        <f t="shared" si="4"/>
        <v>174147061.90394065</v>
      </c>
      <c r="P57" s="456"/>
      <c r="Q57" s="180">
        <f t="shared" si="6"/>
        <v>-8483317.3094965816</v>
      </c>
      <c r="R57" s="456"/>
      <c r="S57" s="628">
        <f>-Q57/ITA!B55*1000</f>
        <v>27.752073724182548</v>
      </c>
    </row>
    <row r="58" spans="1:19" x14ac:dyDescent="0.25">
      <c r="A58" s="125" t="s">
        <v>55</v>
      </c>
      <c r="B58" s="126">
        <v>8632.56</v>
      </c>
      <c r="C58" s="127">
        <v>1.4100329293555609E-2</v>
      </c>
      <c r="D58" s="128">
        <f>'Total Inst. Cost'!G56</f>
        <v>54087699.372368112</v>
      </c>
      <c r="E58" s="129">
        <f>Facilities!J66</f>
        <v>12491761.798122372</v>
      </c>
      <c r="F58" s="130">
        <f>'District Services'!K65</f>
        <v>2398518.5535541018</v>
      </c>
      <c r="G58" s="131">
        <f t="shared" si="5"/>
        <v>68977979.724044591</v>
      </c>
      <c r="H58" s="469">
        <f t="shared" si="1"/>
        <v>17312362.86015508</v>
      </c>
      <c r="I58" s="470">
        <f t="shared" si="2"/>
        <v>51665616.863889515</v>
      </c>
      <c r="J58" s="132">
        <f t="shared" si="3"/>
        <v>0.74901609282534165</v>
      </c>
      <c r="K58" s="134">
        <f>H58/ITA!B56*1000</f>
        <v>74.990560796331252</v>
      </c>
      <c r="L58" s="133"/>
      <c r="M58" s="462">
        <f>'FY 19 State Pmt'!BL57</f>
        <v>37095173.119999997</v>
      </c>
      <c r="N58" s="463">
        <f>'Prop Tax'!K56</f>
        <v>14380968.889584647</v>
      </c>
      <c r="O58" s="405">
        <f t="shared" si="4"/>
        <v>51476142.009584643</v>
      </c>
      <c r="P58" s="455"/>
      <c r="Q58" s="181">
        <f t="shared" si="6"/>
        <v>189474.85430487245</v>
      </c>
      <c r="R58" s="455"/>
      <c r="S58" s="627">
        <f>-Q58/ITA!B56*1000</f>
        <v>-0.82073288873973294</v>
      </c>
    </row>
    <row r="59" spans="1:19" x14ac:dyDescent="0.25">
      <c r="A59" s="123" t="s">
        <v>56</v>
      </c>
      <c r="B59" s="47">
        <v>1939.18</v>
      </c>
      <c r="C59" s="73">
        <v>1.8253350540279024E-3</v>
      </c>
      <c r="D59" s="136">
        <f>'Total Inst. Cost'!G57</f>
        <v>12122426.907368965</v>
      </c>
      <c r="E59" s="137">
        <f>Facilities!J67</f>
        <v>2807492.3334671962</v>
      </c>
      <c r="F59" s="138">
        <f>'District Services'!K66</f>
        <v>1197752.7527392642</v>
      </c>
      <c r="G59" s="139">
        <f t="shared" si="5"/>
        <v>16127671.993575426</v>
      </c>
      <c r="H59" s="471">
        <f t="shared" si="1"/>
        <v>2241143.6030174578</v>
      </c>
      <c r="I59" s="472">
        <f t="shared" si="2"/>
        <v>13886528.390557967</v>
      </c>
      <c r="J59" s="79">
        <f t="shared" si="3"/>
        <v>0.86103737700579264</v>
      </c>
      <c r="K59" s="124">
        <f>H59/ITA!B57*1000</f>
        <v>74.990560796331252</v>
      </c>
      <c r="M59" s="464">
        <f>'FY 19 State Pmt'!BL58</f>
        <v>9691707.6799999978</v>
      </c>
      <c r="N59" s="465">
        <f>'Prop Tax'!K57</f>
        <v>4396403.5391870914</v>
      </c>
      <c r="O59" s="406">
        <f t="shared" si="4"/>
        <v>14088111.219187088</v>
      </c>
      <c r="P59" s="456"/>
      <c r="Q59" s="180">
        <f t="shared" si="6"/>
        <v>-201582.82862912118</v>
      </c>
      <c r="R59" s="456"/>
      <c r="S59" s="628">
        <f>-Q59/ITA!B57*1000</f>
        <v>6.7451319698815304</v>
      </c>
    </row>
    <row r="60" spans="1:19" x14ac:dyDescent="0.25">
      <c r="A60" s="125" t="s">
        <v>57</v>
      </c>
      <c r="B60" s="126">
        <v>3124.12</v>
      </c>
      <c r="C60" s="127">
        <v>1.4094062156419617E-3</v>
      </c>
      <c r="D60" s="128">
        <f>'Total Inst. Cost'!G58</f>
        <v>20358429.357592933</v>
      </c>
      <c r="E60" s="129">
        <f>Facilities!J68</f>
        <v>4655822.5238384558</v>
      </c>
      <c r="F60" s="130">
        <f>'District Services'!K67</f>
        <v>1255816.3446834737</v>
      </c>
      <c r="G60" s="131">
        <f t="shared" si="5"/>
        <v>26270068.226114862</v>
      </c>
      <c r="H60" s="469">
        <f t="shared" si="1"/>
        <v>1730466.8078711769</v>
      </c>
      <c r="I60" s="470">
        <f t="shared" si="2"/>
        <v>24539601.418243684</v>
      </c>
      <c r="J60" s="132">
        <f t="shared" si="3"/>
        <v>0.9341278144778119</v>
      </c>
      <c r="K60" s="134">
        <f>H60/ITA!B58*1000</f>
        <v>74.990560796331266</v>
      </c>
      <c r="L60" s="133"/>
      <c r="M60" s="462">
        <f>'FY 19 State Pmt'!BL59</f>
        <v>17959733.660000004</v>
      </c>
      <c r="N60" s="463">
        <f>'Prop Tax'!K58</f>
        <v>3873234.1607989687</v>
      </c>
      <c r="O60" s="405">
        <f t="shared" si="4"/>
        <v>21832967.820798971</v>
      </c>
      <c r="P60" s="455"/>
      <c r="Q60" s="181">
        <f t="shared" si="6"/>
        <v>2706633.5974447131</v>
      </c>
      <c r="R60" s="455"/>
      <c r="S60" s="627">
        <f>-Q60/ITA!B58*1000</f>
        <v>-117.29318957135445</v>
      </c>
    </row>
    <row r="61" spans="1:19" x14ac:dyDescent="0.25">
      <c r="A61" s="123" t="s">
        <v>58</v>
      </c>
      <c r="B61" s="47">
        <v>16899.259999999998</v>
      </c>
      <c r="C61" s="73">
        <v>1.625989722691178E-2</v>
      </c>
      <c r="D61" s="58">
        <f>'Total Inst. Cost'!G59</f>
        <v>96678518.960273594</v>
      </c>
      <c r="E61" s="56">
        <f>Facilities!J69</f>
        <v>22794168.073393114</v>
      </c>
      <c r="F61" s="55">
        <f>'District Services'!K68</f>
        <v>3899728.6975525306</v>
      </c>
      <c r="G61" s="287">
        <f t="shared" si="5"/>
        <v>123372415.73121923</v>
      </c>
      <c r="H61" s="471">
        <f t="shared" si="1"/>
        <v>19963877.084046621</v>
      </c>
      <c r="I61" s="472">
        <f t="shared" si="2"/>
        <v>103408538.64717261</v>
      </c>
      <c r="J61" s="79">
        <f t="shared" si="3"/>
        <v>0.83818200392914266</v>
      </c>
      <c r="K61" s="124">
        <f>H61/ITA!B59*1000</f>
        <v>74.990560796331266</v>
      </c>
      <c r="M61" s="464">
        <f>'FY 19 State Pmt'!BL60</f>
        <v>74309378.889999986</v>
      </c>
      <c r="N61" s="465">
        <f>'Prop Tax'!K59</f>
        <v>45732337.264372997</v>
      </c>
      <c r="O61" s="407">
        <f t="shared" si="4"/>
        <v>120041716.15437299</v>
      </c>
      <c r="P61" s="456"/>
      <c r="Q61" s="180">
        <f t="shared" si="6"/>
        <v>-16633177.507200375</v>
      </c>
      <c r="R61" s="456"/>
      <c r="S61" s="628">
        <f>-Q61/ITA!B59*1000</f>
        <v>62.479412382609652</v>
      </c>
    </row>
    <row r="62" spans="1:19" x14ac:dyDescent="0.25">
      <c r="A62" s="125" t="s">
        <v>59</v>
      </c>
      <c r="B62" s="126">
        <v>4230.8599999999997</v>
      </c>
      <c r="C62" s="127">
        <v>3.3424400149640473E-3</v>
      </c>
      <c r="D62" s="128">
        <f>'Total Inst. Cost'!G60</f>
        <v>26956286.689875893</v>
      </c>
      <c r="E62" s="129">
        <f>Facilities!J70</f>
        <v>6328538.8602237673</v>
      </c>
      <c r="F62" s="130">
        <f>'District Services'!K69</f>
        <v>1307759.7078050536</v>
      </c>
      <c r="G62" s="131">
        <f t="shared" si="5"/>
        <v>34592585.257904716</v>
      </c>
      <c r="H62" s="469">
        <f t="shared" si="1"/>
        <v>4103842.7665520217</v>
      </c>
      <c r="I62" s="470">
        <f t="shared" si="2"/>
        <v>30488742.491352692</v>
      </c>
      <c r="J62" s="132">
        <f t="shared" si="3"/>
        <v>0.88136640450675019</v>
      </c>
      <c r="K62" s="134">
        <f>H62/ITA!B60*1000</f>
        <v>74.990560796331266</v>
      </c>
      <c r="L62" s="133"/>
      <c r="M62" s="462">
        <f>'FY 19 State Pmt'!BL61</f>
        <v>21344328.469999995</v>
      </c>
      <c r="N62" s="463">
        <f>'Prop Tax'!K60</f>
        <v>5788049.6511923019</v>
      </c>
      <c r="O62" s="405">
        <f t="shared" si="4"/>
        <v>27132378.121192299</v>
      </c>
      <c r="P62" s="455"/>
      <c r="Q62" s="181">
        <f t="shared" si="6"/>
        <v>3356364.3701603934</v>
      </c>
      <c r="R62" s="455"/>
      <c r="S62" s="627">
        <f>-Q62/ITA!B60*1000</f>
        <v>-61.331698282052706</v>
      </c>
    </row>
    <row r="63" spans="1:19" x14ac:dyDescent="0.25">
      <c r="A63" s="123" t="s">
        <v>60</v>
      </c>
      <c r="B63" s="47">
        <v>3684.37</v>
      </c>
      <c r="C63" s="73">
        <v>3.4378982065055635E-3</v>
      </c>
      <c r="D63" s="136">
        <f>'Total Inst. Cost'!G61</f>
        <v>23031937.931125272</v>
      </c>
      <c r="E63" s="137">
        <f>Facilities!J71</f>
        <v>5386654.6249611219</v>
      </c>
      <c r="F63" s="138">
        <f>'District Services'!K70</f>
        <v>1277164.8946310354</v>
      </c>
      <c r="G63" s="139">
        <f t="shared" si="5"/>
        <v>29695757.450717431</v>
      </c>
      <c r="H63" s="471">
        <f t="shared" si="1"/>
        <v>4221046.1889356552</v>
      </c>
      <c r="I63" s="472">
        <f t="shared" si="2"/>
        <v>25474711.261781774</v>
      </c>
      <c r="J63" s="79">
        <f t="shared" si="3"/>
        <v>0.85785692801603619</v>
      </c>
      <c r="K63" s="124">
        <f>H63/ITA!B61*1000</f>
        <v>74.990560796331266</v>
      </c>
      <c r="M63" s="464">
        <f>'FY 19 State Pmt'!BL62</f>
        <v>18962094.889999997</v>
      </c>
      <c r="N63" s="465">
        <f>'Prop Tax'!K61</f>
        <v>5435809.0912967287</v>
      </c>
      <c r="O63" s="406">
        <f t="shared" si="4"/>
        <v>24397903.981296726</v>
      </c>
      <c r="P63" s="456"/>
      <c r="Q63" s="180">
        <f t="shared" si="6"/>
        <v>1076807.2804850489</v>
      </c>
      <c r="R63" s="456"/>
      <c r="S63" s="628">
        <f>-Q63/ITA!B61*1000</f>
        <v>-19.130418910082469</v>
      </c>
    </row>
    <row r="64" spans="1:19" x14ac:dyDescent="0.25">
      <c r="A64" s="125" t="s">
        <v>61</v>
      </c>
      <c r="B64" s="126">
        <v>665.85</v>
      </c>
      <c r="C64" s="127">
        <v>1.6201801580265024E-3</v>
      </c>
      <c r="D64" s="128">
        <f>'Total Inst. Cost'!G62</f>
        <v>4237023.9889165387</v>
      </c>
      <c r="E64" s="129">
        <f>Facilities!J72</f>
        <v>986408.55212152505</v>
      </c>
      <c r="F64" s="130">
        <f>'District Services'!K71</f>
        <v>1142403.0222093277</v>
      </c>
      <c r="G64" s="131">
        <f t="shared" si="5"/>
        <v>6365835.563247391</v>
      </c>
      <c r="H64" s="469">
        <f t="shared" si="1"/>
        <v>1989254.7337456683</v>
      </c>
      <c r="I64" s="470">
        <f t="shared" si="2"/>
        <v>4376580.8295017229</v>
      </c>
      <c r="J64" s="132">
        <f t="shared" si="3"/>
        <v>0.68751082022437704</v>
      </c>
      <c r="K64" s="134">
        <f>H64/ITA!B62*1000</f>
        <v>74.990560796331266</v>
      </c>
      <c r="L64" s="133"/>
      <c r="M64" s="462">
        <f>'FY 19 State Pmt'!BL63</f>
        <v>2392552.8900000006</v>
      </c>
      <c r="N64" s="463">
        <f>'Prop Tax'!K62</f>
        <v>3296376.9250261942</v>
      </c>
      <c r="O64" s="405">
        <f t="shared" si="4"/>
        <v>5688929.8150261948</v>
      </c>
      <c r="P64" s="455"/>
      <c r="Q64" s="181">
        <f t="shared" si="6"/>
        <v>-1312348.9855244718</v>
      </c>
      <c r="R64" s="455"/>
      <c r="S64" s="627">
        <f>-Q64/ITA!B62*1000</f>
        <v>49.472691815425904</v>
      </c>
    </row>
    <row r="65" spans="1:19" x14ac:dyDescent="0.25">
      <c r="A65" s="123" t="s">
        <v>62</v>
      </c>
      <c r="B65" s="47">
        <v>5751.42</v>
      </c>
      <c r="C65" s="73">
        <v>6.382763525753247E-3</v>
      </c>
      <c r="D65" s="58">
        <f>'Total Inst. Cost'!G63</f>
        <v>35393010.819653735</v>
      </c>
      <c r="E65" s="56">
        <f>Facilities!J73</f>
        <v>8190267.411438548</v>
      </c>
      <c r="F65" s="55">
        <f>'District Services'!K72</f>
        <v>1360504.364746399</v>
      </c>
      <c r="G65" s="76">
        <f t="shared" si="5"/>
        <v>44943782.595838681</v>
      </c>
      <c r="H65" s="471">
        <f t="shared" si="1"/>
        <v>7836747.3487946186</v>
      </c>
      <c r="I65" s="472">
        <f t="shared" si="2"/>
        <v>37107035.247044064</v>
      </c>
      <c r="J65" s="79">
        <f t="shared" si="3"/>
        <v>0.82563222550119275</v>
      </c>
      <c r="K65" s="124">
        <f>H65/ITA!B63*1000</f>
        <v>74.990560796331266</v>
      </c>
      <c r="M65" s="464">
        <f>'FY 19 State Pmt'!BL64</f>
        <v>26858974.979999997</v>
      </c>
      <c r="N65" s="465">
        <f>'Prop Tax'!K63</f>
        <v>10074318.971803756</v>
      </c>
      <c r="O65" s="406">
        <f t="shared" si="4"/>
        <v>36933293.951803751</v>
      </c>
      <c r="P65" s="456"/>
      <c r="Q65" s="180">
        <f t="shared" si="6"/>
        <v>173741.29524031281</v>
      </c>
      <c r="R65" s="456"/>
      <c r="S65" s="628">
        <f>-Q65/ITA!B63*1000</f>
        <v>-1.6625465366771102</v>
      </c>
    </row>
    <row r="66" spans="1:19" x14ac:dyDescent="0.25">
      <c r="A66" s="125" t="s">
        <v>63</v>
      </c>
      <c r="B66" s="126">
        <v>10099.5</v>
      </c>
      <c r="C66" s="127">
        <v>2.5744017909298453E-2</v>
      </c>
      <c r="D66" s="128">
        <f>'Total Inst. Cost'!G64</f>
        <v>62305314.79242982</v>
      </c>
      <c r="E66" s="129">
        <f>Facilities!J74</f>
        <v>14605094.086315569</v>
      </c>
      <c r="F66" s="130">
        <f>'District Services'!K73</f>
        <v>2915466.4729883629</v>
      </c>
      <c r="G66" s="131">
        <f t="shared" si="5"/>
        <v>79825875.351733759</v>
      </c>
      <c r="H66" s="469">
        <f t="shared" si="1"/>
        <v>31608466.032619756</v>
      </c>
      <c r="I66" s="470">
        <f t="shared" si="2"/>
        <v>48217409.319114</v>
      </c>
      <c r="J66" s="132">
        <f t="shared" si="3"/>
        <v>0.60403232794699013</v>
      </c>
      <c r="K66" s="134">
        <f>H66/ITA!B64*1000</f>
        <v>74.990560796331252</v>
      </c>
      <c r="L66" s="133"/>
      <c r="M66" s="462">
        <f>'FY 19 State Pmt'!BL65</f>
        <v>32109779.140000008</v>
      </c>
      <c r="N66" s="463">
        <f>'Prop Tax'!K64</f>
        <v>18802266.000316631</v>
      </c>
      <c r="O66" s="405">
        <f t="shared" si="4"/>
        <v>50912045.140316635</v>
      </c>
      <c r="P66" s="455"/>
      <c r="Q66" s="181">
        <f t="shared" si="6"/>
        <v>-2694635.8212026358</v>
      </c>
      <c r="R66" s="455"/>
      <c r="S66" s="627">
        <f>-Q66/ITA!B64*1000</f>
        <v>6.3929787407377141</v>
      </c>
    </row>
    <row r="67" spans="1:19" x14ac:dyDescent="0.25">
      <c r="A67" s="123" t="s">
        <v>64</v>
      </c>
      <c r="B67" s="47">
        <v>2483.25</v>
      </c>
      <c r="C67" s="73">
        <v>3.289874974835186E-3</v>
      </c>
      <c r="D67" s="136">
        <f>'Total Inst. Cost'!G65</f>
        <v>15750801.596492043</v>
      </c>
      <c r="E67" s="137">
        <f>Facilities!J75</f>
        <v>3656802.5590545102</v>
      </c>
      <c r="F67" s="138">
        <f>'District Services'!K74</f>
        <v>1224440.274867411</v>
      </c>
      <c r="G67" s="139">
        <f t="shared" si="5"/>
        <v>20632044.430413965</v>
      </c>
      <c r="H67" s="471">
        <f t="shared" si="1"/>
        <v>4039303.4902327536</v>
      </c>
      <c r="I67" s="472">
        <f t="shared" si="2"/>
        <v>16592740.940181211</v>
      </c>
      <c r="J67" s="79">
        <f t="shared" si="3"/>
        <v>0.80422184995499701</v>
      </c>
      <c r="K67" s="124">
        <f>H67/ITA!B65*1000</f>
        <v>74.990560796331266</v>
      </c>
      <c r="M67" s="464">
        <f>'FY 19 State Pmt'!BL66</f>
        <v>12174890.289999997</v>
      </c>
      <c r="N67" s="465">
        <f>'Prop Tax'!K65</f>
        <v>4903116.9740747465</v>
      </c>
      <c r="O67" s="406">
        <f t="shared" si="4"/>
        <v>17078007.264074743</v>
      </c>
      <c r="P67" s="456"/>
      <c r="Q67" s="180">
        <f t="shared" si="6"/>
        <v>-485266.32389353216</v>
      </c>
      <c r="R67" s="456"/>
      <c r="S67" s="628">
        <f>-Q67/ITA!B65*1000</f>
        <v>9.0090764044702194</v>
      </c>
    </row>
    <row r="68" spans="1:19" x14ac:dyDescent="0.25">
      <c r="A68" s="125" t="s">
        <v>65</v>
      </c>
      <c r="B68" s="126">
        <v>3390.2</v>
      </c>
      <c r="C68" s="127">
        <v>3.6676308342297138E-3</v>
      </c>
      <c r="D68" s="128">
        <f>'Total Inst. Cost'!G66</f>
        <v>20594441.994047031</v>
      </c>
      <c r="E68" s="129">
        <f>Facilities!J76</f>
        <v>4837701.7710386161</v>
      </c>
      <c r="F68" s="130">
        <f>'District Services'!K75</f>
        <v>1258906.3420880197</v>
      </c>
      <c r="G68" s="131">
        <f t="shared" si="5"/>
        <v>26691050.107173666</v>
      </c>
      <c r="H68" s="469">
        <f t="shared" si="1"/>
        <v>4503111.559834131</v>
      </c>
      <c r="I68" s="470">
        <f t="shared" si="2"/>
        <v>22187938.547339536</v>
      </c>
      <c r="J68" s="132">
        <f t="shared" si="3"/>
        <v>0.83128758360002319</v>
      </c>
      <c r="K68" s="134">
        <f>H68/ITA!B66*1000</f>
        <v>74.990560796331252</v>
      </c>
      <c r="L68" s="133"/>
      <c r="M68" s="462">
        <f>'FY 19 State Pmt'!BL67</f>
        <v>16215838.600000003</v>
      </c>
      <c r="N68" s="463">
        <f>'Prop Tax'!K66</f>
        <v>3406975.4480954232</v>
      </c>
      <c r="O68" s="405">
        <f t="shared" si="4"/>
        <v>19622814.048095427</v>
      </c>
      <c r="P68" s="455"/>
      <c r="Q68" s="181">
        <f t="shared" si="6"/>
        <v>2565124.4992441088</v>
      </c>
      <c r="R68" s="455"/>
      <c r="S68" s="627">
        <f>-Q68/ITA!B66*1000</f>
        <v>-42.7171572710958</v>
      </c>
    </row>
    <row r="69" spans="1:19" x14ac:dyDescent="0.25">
      <c r="A69" s="123" t="s">
        <v>66</v>
      </c>
      <c r="B69" s="47">
        <v>6118.74</v>
      </c>
      <c r="C69" s="73">
        <v>8.3599765802466128E-3</v>
      </c>
      <c r="D69" s="58">
        <f>'Total Inst. Cost'!G67</f>
        <v>37676667.74248448</v>
      </c>
      <c r="E69" s="56">
        <f>Facilities!J77</f>
        <v>8851616.5379096959</v>
      </c>
      <c r="F69" s="55">
        <f>'District Services'!K76</f>
        <v>1533116.946011815</v>
      </c>
      <c r="G69" s="76">
        <f t="shared" si="5"/>
        <v>48061401.226405986</v>
      </c>
      <c r="H69" s="471">
        <f t="shared" si="1"/>
        <v>10264366.529778516</v>
      </c>
      <c r="I69" s="472">
        <f t="shared" si="2"/>
        <v>37797034.696627468</v>
      </c>
      <c r="J69" s="79">
        <f t="shared" si="3"/>
        <v>0.78643222486532394</v>
      </c>
      <c r="K69" s="124">
        <f>H69/ITA!B67*1000</f>
        <v>74.990560796331252</v>
      </c>
      <c r="M69" s="464">
        <f>'FY 19 State Pmt'!BL68</f>
        <v>28050287.960000005</v>
      </c>
      <c r="N69" s="465">
        <f>'Prop Tax'!K67</f>
        <v>11946074.83254648</v>
      </c>
      <c r="O69" s="406">
        <f t="shared" si="4"/>
        <v>39996362.792546481</v>
      </c>
      <c r="P69" s="456"/>
      <c r="Q69" s="180">
        <f t="shared" si="6"/>
        <v>-2199328.095919013</v>
      </c>
      <c r="R69" s="456"/>
      <c r="S69" s="628">
        <f>-Q69/ITA!B67*1000</f>
        <v>16.06809799802161</v>
      </c>
    </row>
    <row r="70" spans="1:19" x14ac:dyDescent="0.25">
      <c r="A70" s="125" t="s">
        <v>67</v>
      </c>
      <c r="B70" s="126">
        <v>15618.17</v>
      </c>
      <c r="C70" s="127">
        <v>1.8679451612254167E-2</v>
      </c>
      <c r="D70" s="128">
        <f>'Total Inst. Cost'!G68</f>
        <v>91978010.13056688</v>
      </c>
      <c r="E70" s="129">
        <f>Facilities!J78</f>
        <v>21631567.952527069</v>
      </c>
      <c r="F70" s="130">
        <f>'District Services'!K77</f>
        <v>3872610.0483937324</v>
      </c>
      <c r="G70" s="131">
        <f t="shared" si="5"/>
        <v>117482188.13148767</v>
      </c>
      <c r="H70" s="469">
        <f t="shared" si="1"/>
        <v>22934602.278249808</v>
      </c>
      <c r="I70" s="470">
        <f t="shared" si="2"/>
        <v>94547585.853237867</v>
      </c>
      <c r="J70" s="132">
        <f t="shared" si="3"/>
        <v>0.80478230238118242</v>
      </c>
      <c r="K70" s="134">
        <f>H70/ITA!B68*1000</f>
        <v>74.990560796331266</v>
      </c>
      <c r="L70" s="133"/>
      <c r="M70" s="462">
        <f>'FY 19 State Pmt'!BL69</f>
        <v>64731147.499999993</v>
      </c>
      <c r="N70" s="463">
        <f>'Prop Tax'!K68</f>
        <v>22901317.521250933</v>
      </c>
      <c r="O70" s="405">
        <f t="shared" si="4"/>
        <v>87632465.021250933</v>
      </c>
      <c r="P70" s="455"/>
      <c r="Q70" s="181">
        <f t="shared" si="6"/>
        <v>6915120.8319869339</v>
      </c>
      <c r="R70" s="455"/>
      <c r="S70" s="627">
        <f>-Q70/ITA!B68*1000</f>
        <v>-22.610760059130453</v>
      </c>
    </row>
    <row r="71" spans="1:19" x14ac:dyDescent="0.25">
      <c r="A71" s="123" t="s">
        <v>68</v>
      </c>
      <c r="B71" s="47">
        <v>22502.1</v>
      </c>
      <c r="C71" s="73">
        <v>3.8279486424848096E-2</v>
      </c>
      <c r="D71" s="136">
        <f>'Total Inst. Cost'!G69</f>
        <v>138654029.90113798</v>
      </c>
      <c r="E71" s="137">
        <f>Facilities!J79</f>
        <v>32271398.274873096</v>
      </c>
      <c r="F71" s="138">
        <f>'District Services'!K78</f>
        <v>4205746.9713399913</v>
      </c>
      <c r="G71" s="139">
        <f t="shared" si="5"/>
        <v>175131175.14735109</v>
      </c>
      <c r="H71" s="471">
        <f t="shared" si="1"/>
        <v>46999495.209678106</v>
      </c>
      <c r="I71" s="472">
        <f t="shared" si="2"/>
        <v>128131679.93767297</v>
      </c>
      <c r="J71" s="79">
        <f t="shared" si="3"/>
        <v>0.73163261669355051</v>
      </c>
      <c r="K71" s="124">
        <f>H71/ITA!B69*1000</f>
        <v>74.990560796331252</v>
      </c>
      <c r="M71" s="464">
        <f>'FY 19 State Pmt'!BL70</f>
        <v>94439163.089999989</v>
      </c>
      <c r="N71" s="465">
        <f>'Prop Tax'!K69</f>
        <v>59859178.193128958</v>
      </c>
      <c r="O71" s="406">
        <f t="shared" si="4"/>
        <v>154298341.28312895</v>
      </c>
      <c r="P71" s="456"/>
      <c r="Q71" s="180">
        <f t="shared" ref="Q71:Q87" si="7">I71-O71</f>
        <v>-26166661.345455974</v>
      </c>
      <c r="R71" s="456"/>
      <c r="S71" s="628">
        <f>-Q71/ITA!B69*1000</f>
        <v>41.750503908802862</v>
      </c>
    </row>
    <row r="72" spans="1:19" x14ac:dyDescent="0.25">
      <c r="A72" s="125" t="s">
        <v>69</v>
      </c>
      <c r="B72" s="126">
        <v>27586.57</v>
      </c>
      <c r="C72" s="127">
        <v>1.8937980333395193E-2</v>
      </c>
      <c r="D72" s="128">
        <f>'Total Inst. Cost'!G70</f>
        <v>160070963.90505502</v>
      </c>
      <c r="E72" s="129">
        <f>Facilities!J80</f>
        <v>37843261.77313</v>
      </c>
      <c r="F72" s="130">
        <f>'District Services'!K79</f>
        <v>4354236.8594544223</v>
      </c>
      <c r="G72" s="131">
        <f t="shared" ref="G72:G87" si="8">SUM(D72:F72)</f>
        <v>202268462.53763944</v>
      </c>
      <c r="H72" s="469">
        <f t="shared" ref="H72:H87" si="9">C72*($G$88*$H$6)</f>
        <v>23252023.448846929</v>
      </c>
      <c r="I72" s="470">
        <f t="shared" ref="I72:I87" si="10">G72-H72</f>
        <v>179016439.0887925</v>
      </c>
      <c r="J72" s="132">
        <f t="shared" ref="J72:J88" si="11">I72/G72</f>
        <v>0.88504375246081657</v>
      </c>
      <c r="K72" s="134">
        <f>H72/ITA!B70*1000</f>
        <v>74.990560796331252</v>
      </c>
      <c r="L72" s="133"/>
      <c r="M72" s="462">
        <f>'FY 19 State Pmt'!BL71</f>
        <v>131416739.18999998</v>
      </c>
      <c r="N72" s="463">
        <f>'Prop Tax'!K70</f>
        <v>53590007.718857341</v>
      </c>
      <c r="O72" s="405">
        <f t="shared" ref="O72:O87" si="12">M72+N72</f>
        <v>185006746.90885732</v>
      </c>
      <c r="P72" s="455"/>
      <c r="Q72" s="181">
        <f t="shared" si="7"/>
        <v>-5990307.8200648129</v>
      </c>
      <c r="R72" s="455"/>
      <c r="S72" s="627">
        <f>-Q72/ITA!B70*1000</f>
        <v>19.31946025074156</v>
      </c>
    </row>
    <row r="73" spans="1:19" x14ac:dyDescent="0.25">
      <c r="A73" s="123" t="s">
        <v>70</v>
      </c>
      <c r="B73" s="47">
        <v>2197.3200000000002</v>
      </c>
      <c r="C73" s="73">
        <v>1.9884838235910748E-3</v>
      </c>
      <c r="D73" s="58">
        <f>'Total Inst. Cost'!G71</f>
        <v>14115630.830331624</v>
      </c>
      <c r="E73" s="56">
        <f>Facilities!J81</f>
        <v>3220078.7748957039</v>
      </c>
      <c r="F73" s="55">
        <f>'District Services'!K80</f>
        <v>1210825.467771299</v>
      </c>
      <c r="G73" s="76">
        <f t="shared" si="8"/>
        <v>18546535.072998628</v>
      </c>
      <c r="H73" s="471">
        <f t="shared" si="9"/>
        <v>2441457.4141393276</v>
      </c>
      <c r="I73" s="472">
        <f t="shared" si="10"/>
        <v>16105077.658859301</v>
      </c>
      <c r="J73" s="79">
        <f t="shared" si="11"/>
        <v>0.86836045630465097</v>
      </c>
      <c r="K73" s="124">
        <f>H73/ITA!B71*1000</f>
        <v>74.990560796331266</v>
      </c>
      <c r="M73" s="464">
        <f>'FY 19 State Pmt'!BL72</f>
        <v>11322676.370000001</v>
      </c>
      <c r="N73" s="465">
        <f>'Prop Tax'!K71</f>
        <v>3432164.1648954973</v>
      </c>
      <c r="O73" s="406">
        <f t="shared" si="12"/>
        <v>14754840.534895498</v>
      </c>
      <c r="P73" s="456"/>
      <c r="Q73" s="180">
        <f t="shared" si="7"/>
        <v>1350237.1239638031</v>
      </c>
      <c r="R73" s="456"/>
      <c r="S73" s="628">
        <f>-Q73/ITA!B71*1000</f>
        <v>-41.473194882559881</v>
      </c>
    </row>
    <row r="74" spans="1:19" x14ac:dyDescent="0.25">
      <c r="A74" s="125" t="s">
        <v>71</v>
      </c>
      <c r="B74" s="126">
        <v>4904.8</v>
      </c>
      <c r="C74" s="127">
        <v>3.2904090954301987E-3</v>
      </c>
      <c r="D74" s="128">
        <f>'Total Inst. Cost'!G72</f>
        <v>28507579.743300911</v>
      </c>
      <c r="E74" s="129">
        <f>Facilities!J82</f>
        <v>6697040.8070405433</v>
      </c>
      <c r="F74" s="130">
        <f>'District Services'!K81</f>
        <v>1311653.6540530578</v>
      </c>
      <c r="G74" s="131">
        <f t="shared" si="8"/>
        <v>36516274.204394512</v>
      </c>
      <c r="H74" s="469">
        <f t="shared" si="9"/>
        <v>4039959.2826869176</v>
      </c>
      <c r="I74" s="470">
        <f t="shared" si="10"/>
        <v>32476314.921707593</v>
      </c>
      <c r="J74" s="132">
        <f t="shared" si="11"/>
        <v>0.88936551248153528</v>
      </c>
      <c r="K74" s="134">
        <f>H74/ITA!B72*1000</f>
        <v>74.990560796331266</v>
      </c>
      <c r="L74" s="133"/>
      <c r="M74" s="462">
        <f>'FY 19 State Pmt'!BL73</f>
        <v>22728219.179999996</v>
      </c>
      <c r="N74" s="463">
        <f>'Prop Tax'!K72</f>
        <v>11292735.187522516</v>
      </c>
      <c r="O74" s="405">
        <f t="shared" si="12"/>
        <v>34020954.367522508</v>
      </c>
      <c r="P74" s="455"/>
      <c r="Q74" s="181">
        <f t="shared" si="7"/>
        <v>-1544639.445814915</v>
      </c>
      <c r="R74" s="455"/>
      <c r="S74" s="627">
        <f>-Q74/ITA!B72*1000</f>
        <v>28.671917255749104</v>
      </c>
    </row>
    <row r="75" spans="1:19" x14ac:dyDescent="0.25">
      <c r="A75" s="123" t="s">
        <v>72</v>
      </c>
      <c r="B75" s="47">
        <v>9921.15</v>
      </c>
      <c r="C75" s="73">
        <v>7.1412919112442208E-3</v>
      </c>
      <c r="D75" s="136">
        <f>'Total Inst. Cost'!G73</f>
        <v>58162454.87617638</v>
      </c>
      <c r="E75" s="137">
        <f>Facilities!J83</f>
        <v>13723362.632142251</v>
      </c>
      <c r="F75" s="138">
        <f>'District Services'!K82</f>
        <v>2579291.9625073913</v>
      </c>
      <c r="G75" s="139">
        <f t="shared" si="8"/>
        <v>74465109.47082603</v>
      </c>
      <c r="H75" s="471">
        <f t="shared" si="9"/>
        <v>8768067.3467856664</v>
      </c>
      <c r="I75" s="472">
        <f t="shared" si="10"/>
        <v>65697042.124040365</v>
      </c>
      <c r="J75" s="79">
        <f t="shared" si="11"/>
        <v>0.88225267633265458</v>
      </c>
      <c r="K75" s="124">
        <f>H75/ITA!B73*1000</f>
        <v>74.990560796331266</v>
      </c>
      <c r="M75" s="464">
        <f>'FY 19 State Pmt'!BL74</f>
        <v>44964591.739999995</v>
      </c>
      <c r="N75" s="465">
        <f>'Prop Tax'!K73</f>
        <v>17310919.055340253</v>
      </c>
      <c r="O75" s="406">
        <f t="shared" si="12"/>
        <v>62275510.795340247</v>
      </c>
      <c r="P75" s="456"/>
      <c r="Q75" s="180">
        <f t="shared" si="7"/>
        <v>3421531.3287001178</v>
      </c>
      <c r="R75" s="456"/>
      <c r="S75" s="628">
        <f>-Q75/ITA!B73*1000</f>
        <v>-29.263296342665555</v>
      </c>
    </row>
    <row r="76" spans="1:19" x14ac:dyDescent="0.25">
      <c r="A76" s="125" t="s">
        <v>73</v>
      </c>
      <c r="B76" s="126">
        <v>2737.16</v>
      </c>
      <c r="C76" s="127">
        <v>3.0188340893884868E-3</v>
      </c>
      <c r="D76" s="128">
        <f>'Total Inst. Cost'!G74</f>
        <v>16916675.618235309</v>
      </c>
      <c r="E76" s="129">
        <f>Facilities!J84</f>
        <v>3938448.5102745676</v>
      </c>
      <c r="F76" s="130">
        <f>'District Services'!K83</f>
        <v>1232000.521468305</v>
      </c>
      <c r="G76" s="131">
        <f t="shared" si="8"/>
        <v>22087124.649978179</v>
      </c>
      <c r="H76" s="469">
        <f t="shared" si="9"/>
        <v>3706519.9033320155</v>
      </c>
      <c r="I76" s="470">
        <f t="shared" si="10"/>
        <v>18380604.746646166</v>
      </c>
      <c r="J76" s="132">
        <f t="shared" si="11"/>
        <v>0.83218639990173304</v>
      </c>
      <c r="K76" s="134">
        <f>H76/ITA!B74*1000</f>
        <v>74.990560796331252</v>
      </c>
      <c r="L76" s="133"/>
      <c r="M76" s="462">
        <f>'FY 19 State Pmt'!BL75</f>
        <v>13270798.720000003</v>
      </c>
      <c r="N76" s="463">
        <f>'Prop Tax'!K74</f>
        <v>6106575.3989446247</v>
      </c>
      <c r="O76" s="405">
        <f t="shared" si="12"/>
        <v>19377374.118944626</v>
      </c>
      <c r="P76" s="455"/>
      <c r="Q76" s="181">
        <f t="shared" si="7"/>
        <v>-996769.37229846045</v>
      </c>
      <c r="R76" s="455"/>
      <c r="S76" s="627">
        <f>-Q76/ITA!B74*1000</f>
        <v>20.166705201305643</v>
      </c>
    </row>
    <row r="77" spans="1:19" x14ac:dyDescent="0.25">
      <c r="A77" s="123" t="s">
        <v>74</v>
      </c>
      <c r="B77" s="47">
        <v>2669.43</v>
      </c>
      <c r="C77" s="73">
        <v>1.9755154732677767E-3</v>
      </c>
      <c r="D77" s="58">
        <f>'Total Inst. Cost'!G75</f>
        <v>16197562.658636674</v>
      </c>
      <c r="E77" s="56">
        <f>Facilities!J85</f>
        <v>3791095.6506472537</v>
      </c>
      <c r="F77" s="55">
        <f>'District Services'!K84</f>
        <v>1226902.3142279794</v>
      </c>
      <c r="G77" s="76">
        <f t="shared" si="8"/>
        <v>21215560.623511907</v>
      </c>
      <c r="H77" s="471">
        <f t="shared" si="9"/>
        <v>2425534.893337125</v>
      </c>
      <c r="I77" s="472">
        <f t="shared" si="10"/>
        <v>18790025.73017478</v>
      </c>
      <c r="J77" s="79">
        <f t="shared" si="11"/>
        <v>0.88567189260843504</v>
      </c>
      <c r="K77" s="124">
        <f>H77/ITA!B75*1000</f>
        <v>74.990560796331252</v>
      </c>
      <c r="M77" s="464">
        <f>'FY 19 State Pmt'!BL76</f>
        <v>12879667.939999999</v>
      </c>
      <c r="N77" s="465">
        <f>'Prop Tax'!K75</f>
        <v>4278581.9397553345</v>
      </c>
      <c r="O77" s="406">
        <f t="shared" si="12"/>
        <v>17158249.879755333</v>
      </c>
      <c r="P77" s="456"/>
      <c r="Q77" s="180">
        <f t="shared" si="7"/>
        <v>1631775.8504194468</v>
      </c>
      <c r="R77" s="456"/>
      <c r="S77" s="628">
        <f>-Q77/ITA!B75*1000</f>
        <v>-50.449814782300379</v>
      </c>
    </row>
    <row r="78" spans="1:19" x14ac:dyDescent="0.25">
      <c r="A78" s="125" t="s">
        <v>75</v>
      </c>
      <c r="B78" s="126">
        <v>8533.4500000000007</v>
      </c>
      <c r="C78" s="127">
        <v>1.284812011328567E-2</v>
      </c>
      <c r="D78" s="128">
        <f>'Total Inst. Cost'!G76</f>
        <v>49667500.700819165</v>
      </c>
      <c r="E78" s="129">
        <f>Facilities!J86</f>
        <v>11785458.847338295</v>
      </c>
      <c r="F78" s="130">
        <f>'District Services'!K85</f>
        <v>2219280.518940018</v>
      </c>
      <c r="G78" s="131">
        <f t="shared" si="8"/>
        <v>63672240.067097478</v>
      </c>
      <c r="H78" s="469">
        <f t="shared" si="9"/>
        <v>15774902.333218414</v>
      </c>
      <c r="I78" s="470">
        <f t="shared" si="10"/>
        <v>47897337.73387906</v>
      </c>
      <c r="J78" s="132">
        <f t="shared" si="11"/>
        <v>0.75224835318193761</v>
      </c>
      <c r="K78" s="134">
        <f>H78/ITA!B76*1000</f>
        <v>74.990560796331266</v>
      </c>
      <c r="L78" s="133"/>
      <c r="M78" s="462">
        <f>'FY 19 State Pmt'!BL77</f>
        <v>33827597.670000009</v>
      </c>
      <c r="N78" s="463">
        <f>'Prop Tax'!K76</f>
        <v>15283691.607939929</v>
      </c>
      <c r="O78" s="405">
        <f t="shared" si="12"/>
        <v>49111289.277939938</v>
      </c>
      <c r="P78" s="455"/>
      <c r="Q78" s="181">
        <f t="shared" si="7"/>
        <v>-1213951.5440608785</v>
      </c>
      <c r="R78" s="455"/>
      <c r="S78" s="627">
        <f>-Q78/ITA!B76*1000</f>
        <v>5.7708697743882933</v>
      </c>
    </row>
    <row r="79" spans="1:19" x14ac:dyDescent="0.25">
      <c r="A79" s="123" t="s">
        <v>76</v>
      </c>
      <c r="B79" s="47">
        <v>10966.62</v>
      </c>
      <c r="C79" s="73">
        <v>1.1539723645201585E-2</v>
      </c>
      <c r="D79" s="136">
        <f>'Total Inst. Cost'!G77</f>
        <v>67189240.106866941</v>
      </c>
      <c r="E79" s="137">
        <f>Facilities!J87</f>
        <v>15567826.260324059</v>
      </c>
      <c r="F79" s="138">
        <f>'District Services'!K86</f>
        <v>3092165.6986981137</v>
      </c>
      <c r="G79" s="139">
        <f t="shared" si="8"/>
        <v>85849232.06588912</v>
      </c>
      <c r="H79" s="471">
        <f t="shared" si="9"/>
        <v>14168455.139763892</v>
      </c>
      <c r="I79" s="472">
        <f t="shared" si="10"/>
        <v>71680776.926125228</v>
      </c>
      <c r="J79" s="79">
        <f t="shared" si="11"/>
        <v>0.83496118953178722</v>
      </c>
      <c r="K79" s="124">
        <f>H79/ITA!B77*1000</f>
        <v>74.990560796331266</v>
      </c>
      <c r="M79" s="464">
        <f>'FY 19 State Pmt'!BL78</f>
        <v>50435630.910000011</v>
      </c>
      <c r="N79" s="465">
        <f>'Prop Tax'!K77</f>
        <v>17428871.123002939</v>
      </c>
      <c r="O79" s="406">
        <f t="shared" si="12"/>
        <v>67864502.033002943</v>
      </c>
      <c r="P79" s="456"/>
      <c r="Q79" s="180">
        <f t="shared" si="7"/>
        <v>3816274.8931222856</v>
      </c>
      <c r="R79" s="456"/>
      <c r="S79" s="628">
        <f>-Q79/ITA!B77*1000</f>
        <v>-20.198715496160183</v>
      </c>
    </row>
    <row r="80" spans="1:19" x14ac:dyDescent="0.25">
      <c r="A80" s="125" t="s">
        <v>77</v>
      </c>
      <c r="B80" s="126">
        <v>7107.44</v>
      </c>
      <c r="C80" s="127">
        <v>9.4814763426312627E-3</v>
      </c>
      <c r="D80" s="128">
        <f>'Total Inst. Cost'!G78</f>
        <v>42364955.552934125</v>
      </c>
      <c r="E80" s="129">
        <f>Facilities!J88</f>
        <v>9988089.7917533983</v>
      </c>
      <c r="F80" s="130">
        <f>'District Services'!K87</f>
        <v>1715095.1184004669</v>
      </c>
      <c r="G80" s="131">
        <f t="shared" si="8"/>
        <v>54068140.463087991</v>
      </c>
      <c r="H80" s="469">
        <f t="shared" si="9"/>
        <v>11641342.23224346</v>
      </c>
      <c r="I80" s="470">
        <f t="shared" si="10"/>
        <v>42426798.230844527</v>
      </c>
      <c r="J80" s="132">
        <f t="shared" si="11"/>
        <v>0.78469127784797887</v>
      </c>
      <c r="K80" s="134">
        <f>H80/ITA!B78*1000</f>
        <v>74.990560796331252</v>
      </c>
      <c r="L80" s="133"/>
      <c r="M80" s="462">
        <f>'FY 19 State Pmt'!BL79</f>
        <v>30705837.949999996</v>
      </c>
      <c r="N80" s="463">
        <f>'Prop Tax'!K78</f>
        <v>16630543.368527502</v>
      </c>
      <c r="O80" s="405">
        <f t="shared" si="12"/>
        <v>47336381.318527497</v>
      </c>
      <c r="P80" s="455"/>
      <c r="Q80" s="181">
        <f t="shared" si="7"/>
        <v>-4909583.0876829699</v>
      </c>
      <c r="R80" s="455"/>
      <c r="S80" s="627">
        <f>-Q80/ITA!B78*1000</f>
        <v>31.626283436783488</v>
      </c>
    </row>
    <row r="81" spans="1:19" x14ac:dyDescent="0.25">
      <c r="A81" s="123" t="s">
        <v>78</v>
      </c>
      <c r="B81" s="47">
        <v>15888.61</v>
      </c>
      <c r="C81" s="73">
        <v>1.2164867429038082E-2</v>
      </c>
      <c r="D81" s="58">
        <f>'Total Inst. Cost'!G79</f>
        <v>98307537.191798344</v>
      </c>
      <c r="E81" s="56">
        <f>Facilities!J89</f>
        <v>22841286.039309006</v>
      </c>
      <c r="F81" s="55">
        <f>'District Services'!K88</f>
        <v>3919477.323274327</v>
      </c>
      <c r="G81" s="76">
        <f t="shared" si="8"/>
        <v>125068300.55438168</v>
      </c>
      <c r="H81" s="471">
        <f t="shared" si="9"/>
        <v>14936005.726720339</v>
      </c>
      <c r="I81" s="472">
        <f t="shared" si="10"/>
        <v>110132294.82766135</v>
      </c>
      <c r="J81" s="79">
        <f t="shared" si="11"/>
        <v>0.88057720732979883</v>
      </c>
      <c r="K81" s="124">
        <f>H81/ITA!B79*1000</f>
        <v>74.990560796331266</v>
      </c>
      <c r="M81" s="464">
        <f>'FY 19 State Pmt'!BL80</f>
        <v>77764909.240000024</v>
      </c>
      <c r="N81" s="465">
        <f>'Prop Tax'!K79</f>
        <v>20901974.990587439</v>
      </c>
      <c r="O81" s="406">
        <f t="shared" si="12"/>
        <v>98666884.230587468</v>
      </c>
      <c r="P81" s="456"/>
      <c r="Q81" s="180">
        <f t="shared" si="7"/>
        <v>11465410.597073883</v>
      </c>
      <c r="R81" s="456"/>
      <c r="S81" s="628">
        <f>-Q81/ITA!B79*1000</f>
        <v>-57.565428546709917</v>
      </c>
    </row>
    <row r="82" spans="1:19" x14ac:dyDescent="0.25">
      <c r="A82" s="125" t="s">
        <v>79</v>
      </c>
      <c r="B82" s="126">
        <v>3787.02</v>
      </c>
      <c r="C82" s="127">
        <v>3.2362466407739551E-3</v>
      </c>
      <c r="D82" s="128">
        <f>'Total Inst. Cost'!G80</f>
        <v>23611644.233587757</v>
      </c>
      <c r="E82" s="129">
        <f>Facilities!J90</f>
        <v>5487591.2165351296</v>
      </c>
      <c r="F82" s="130">
        <f>'District Services'!K89</f>
        <v>1279669.8103043248</v>
      </c>
      <c r="G82" s="131">
        <f t="shared" si="8"/>
        <v>30378905.26042721</v>
      </c>
      <c r="H82" s="469">
        <f t="shared" si="9"/>
        <v>3973458.7032405818</v>
      </c>
      <c r="I82" s="470">
        <f t="shared" si="10"/>
        <v>26405446.55718663</v>
      </c>
      <c r="J82" s="132">
        <f t="shared" si="11"/>
        <v>0.86920336104354068</v>
      </c>
      <c r="K82" s="134">
        <f>H82/ITA!B80*1000</f>
        <v>74.990560796331252</v>
      </c>
      <c r="L82" s="133"/>
      <c r="M82" s="462">
        <f>'FY 19 State Pmt'!BL81</f>
        <v>18576654.430000003</v>
      </c>
      <c r="N82" s="463">
        <f>'Prop Tax'!K80</f>
        <v>5640943.2722596163</v>
      </c>
      <c r="O82" s="405">
        <f t="shared" si="12"/>
        <v>24217597.702259619</v>
      </c>
      <c r="P82" s="455"/>
      <c r="Q82" s="181">
        <f t="shared" si="7"/>
        <v>2187848.8549270108</v>
      </c>
      <c r="R82" s="455"/>
      <c r="S82" s="627">
        <f>-Q82/ITA!B80*1000</f>
        <v>-41.290982195129125</v>
      </c>
    </row>
    <row r="83" spans="1:19" x14ac:dyDescent="0.25">
      <c r="A83" s="123" t="s">
        <v>80</v>
      </c>
      <c r="B83" s="47">
        <v>3426.1</v>
      </c>
      <c r="C83" s="73">
        <v>4.6326639230576819E-3</v>
      </c>
      <c r="D83" s="136">
        <f>'Total Inst. Cost'!G81</f>
        <v>22116081.577916391</v>
      </c>
      <c r="E83" s="137">
        <f>Facilities!J91</f>
        <v>5134117.0954227988</v>
      </c>
      <c r="F83" s="138">
        <f>'District Services'!K90</f>
        <v>1270923.1127461456</v>
      </c>
      <c r="G83" s="139">
        <f t="shared" si="8"/>
        <v>28521121.786085334</v>
      </c>
      <c r="H83" s="471">
        <f t="shared" si="9"/>
        <v>5687977.7184905671</v>
      </c>
      <c r="I83" s="472">
        <f t="shared" si="10"/>
        <v>22833144.067594767</v>
      </c>
      <c r="J83" s="79">
        <f t="shared" si="11"/>
        <v>0.8005696353337135</v>
      </c>
      <c r="K83" s="124">
        <f>H83/ITA!B81*1000</f>
        <v>74.990560796331252</v>
      </c>
      <c r="M83" s="464">
        <f>'FY 19 State Pmt'!BL82</f>
        <v>16529167.569999995</v>
      </c>
      <c r="N83" s="465">
        <f>'Prop Tax'!K81</f>
        <v>5071592.2534352848</v>
      </c>
      <c r="O83" s="406">
        <f t="shared" si="12"/>
        <v>21600759.82343528</v>
      </c>
      <c r="P83" s="456"/>
      <c r="Q83" s="180">
        <f t="shared" si="7"/>
        <v>1232384.2441594861</v>
      </c>
      <c r="R83" s="456"/>
      <c r="S83" s="628">
        <f>-Q83/ITA!B81*1000</f>
        <v>-16.247810761573739</v>
      </c>
    </row>
    <row r="84" spans="1:19" x14ac:dyDescent="0.25">
      <c r="A84" s="125" t="s">
        <v>81</v>
      </c>
      <c r="B84" s="126">
        <v>4956.4399999999996</v>
      </c>
      <c r="C84" s="127">
        <v>3.8046201543972895E-3</v>
      </c>
      <c r="D84" s="128">
        <f>'Total Inst. Cost'!G82</f>
        <v>30816540.640512552</v>
      </c>
      <c r="E84" s="129">
        <f>Facilities!J92</f>
        <v>7173516.0136201829</v>
      </c>
      <c r="F84" s="130">
        <f>'District Services'!K91</f>
        <v>1331076.6062947845</v>
      </c>
      <c r="G84" s="131">
        <f t="shared" si="8"/>
        <v>39321133.26042752</v>
      </c>
      <c r="H84" s="469">
        <f t="shared" si="9"/>
        <v>4671306.8387763714</v>
      </c>
      <c r="I84" s="470">
        <f t="shared" si="10"/>
        <v>34649826.421651147</v>
      </c>
      <c r="J84" s="132">
        <f t="shared" si="11"/>
        <v>0.88120111371567367</v>
      </c>
      <c r="K84" s="134">
        <f>H84/ITA!B82*1000</f>
        <v>74.990560796331252</v>
      </c>
      <c r="L84" s="133"/>
      <c r="M84" s="462">
        <f>'FY 19 State Pmt'!BL83</f>
        <v>25486416.130000003</v>
      </c>
      <c r="N84" s="463">
        <f>'Prop Tax'!K82</f>
        <v>7384810.4567388752</v>
      </c>
      <c r="O84" s="405">
        <f t="shared" si="12"/>
        <v>32871226.586738877</v>
      </c>
      <c r="P84" s="455"/>
      <c r="Q84" s="181">
        <f t="shared" si="7"/>
        <v>1778599.8349122703</v>
      </c>
      <c r="R84" s="455"/>
      <c r="S84" s="627">
        <f>-Q84/ITA!B82*1000</f>
        <v>-28.552652106936137</v>
      </c>
    </row>
    <row r="85" spans="1:19" x14ac:dyDescent="0.25">
      <c r="A85" s="123" t="s">
        <v>82</v>
      </c>
      <c r="B85" s="47">
        <v>7694.47</v>
      </c>
      <c r="C85" s="73">
        <v>1.4482174336249929E-2</v>
      </c>
      <c r="D85" s="58">
        <f>'Total Inst. Cost'!G83</f>
        <v>41519939.675881289</v>
      </c>
      <c r="E85" s="56">
        <f>Facilities!J93</f>
        <v>9993086.3751662951</v>
      </c>
      <c r="F85" s="55">
        <f>'District Services'!K92</f>
        <v>1705005.1236990951</v>
      </c>
      <c r="G85" s="76">
        <f t="shared" si="8"/>
        <v>53218031.174746677</v>
      </c>
      <c r="H85" s="471">
        <f t="shared" si="9"/>
        <v>17781191.622792333</v>
      </c>
      <c r="I85" s="472">
        <f t="shared" si="10"/>
        <v>35436839.551954344</v>
      </c>
      <c r="J85" s="79">
        <f t="shared" si="11"/>
        <v>0.66588031856334506</v>
      </c>
      <c r="K85" s="124">
        <f>H85/ITA!B83*1000</f>
        <v>74.990560796331266</v>
      </c>
      <c r="M85" s="464">
        <f>'FY 19 State Pmt'!BL84</f>
        <v>26648832.299999993</v>
      </c>
      <c r="N85" s="465">
        <f>'Prop Tax'!K83</f>
        <v>12999621.307783056</v>
      </c>
      <c r="O85" s="406">
        <f t="shared" si="12"/>
        <v>39648453.607783049</v>
      </c>
      <c r="P85" s="456"/>
      <c r="Q85" s="180">
        <f t="shared" si="7"/>
        <v>-4211614.0558287054</v>
      </c>
      <c r="R85" s="456"/>
      <c r="S85" s="628">
        <f>-Q85/ITA!B83*1000</f>
        <v>17.762099785228461</v>
      </c>
    </row>
    <row r="86" spans="1:19" x14ac:dyDescent="0.25">
      <c r="A86" s="125" t="s">
        <v>83</v>
      </c>
      <c r="B86" s="126">
        <v>17132.009999999998</v>
      </c>
      <c r="C86" s="127">
        <v>1.913798531740914E-2</v>
      </c>
      <c r="D86" s="128">
        <f>'Total Inst. Cost'!G84</f>
        <v>102172395.46003979</v>
      </c>
      <c r="E86" s="129">
        <f>Facilities!J94</f>
        <v>24032919.04081247</v>
      </c>
      <c r="F86" s="130">
        <f>'District Services'!K93</f>
        <v>3948496.2011807049</v>
      </c>
      <c r="G86" s="131">
        <f t="shared" si="8"/>
        <v>130153810.70203297</v>
      </c>
      <c r="H86" s="469">
        <f t="shared" si="9"/>
        <v>23497589.264013495</v>
      </c>
      <c r="I86" s="470">
        <f t="shared" si="10"/>
        <v>106656221.43801947</v>
      </c>
      <c r="J86" s="132">
        <f t="shared" si="11"/>
        <v>0.81946291747225442</v>
      </c>
      <c r="K86" s="134">
        <f>H86/ITA!B84*1000</f>
        <v>74.990560796331266</v>
      </c>
      <c r="L86" s="133"/>
      <c r="M86" s="462">
        <f>'FY 19 State Pmt'!BL85</f>
        <v>75177606.350000009</v>
      </c>
      <c r="N86" s="463">
        <f>'Prop Tax'!K84</f>
        <v>30717666.351034239</v>
      </c>
      <c r="O86" s="405">
        <f t="shared" si="12"/>
        <v>105895272.70103425</v>
      </c>
      <c r="P86" s="455"/>
      <c r="Q86" s="181">
        <f t="shared" si="7"/>
        <v>760948.73698522151</v>
      </c>
      <c r="R86" s="455"/>
      <c r="S86" s="627">
        <f>-Q86/ITA!B84*1000</f>
        <v>-2.4285032767669952</v>
      </c>
    </row>
    <row r="87" spans="1:19" ht="15.75" thickBot="1" x14ac:dyDescent="0.3">
      <c r="A87" s="140" t="s">
        <v>84</v>
      </c>
      <c r="B87" s="141">
        <v>15937.31</v>
      </c>
      <c r="C87" s="142">
        <v>1.1890746295467006E-2</v>
      </c>
      <c r="D87" s="143">
        <f>'Total Inst. Cost'!G85</f>
        <v>83932324.89221172</v>
      </c>
      <c r="E87" s="144">
        <f>Facilities!J95</f>
        <v>20139410.21195583</v>
      </c>
      <c r="F87" s="145">
        <f>'District Services'!K94</f>
        <v>3803344.2600772432</v>
      </c>
      <c r="G87" s="146">
        <f t="shared" si="8"/>
        <v>107875079.36424479</v>
      </c>
      <c r="H87" s="473">
        <f t="shared" si="9"/>
        <v>14599440.215857519</v>
      </c>
      <c r="I87" s="474">
        <f t="shared" si="10"/>
        <v>93275639.148387268</v>
      </c>
      <c r="J87" s="147">
        <f t="shared" si="11"/>
        <v>0.86466345793765875</v>
      </c>
      <c r="K87" s="148">
        <f>H87/ITA!B85*1000</f>
        <v>74.990560796331252</v>
      </c>
      <c r="M87" s="466">
        <f>'FY 19 State Pmt'!BL86</f>
        <v>67329412.590000033</v>
      </c>
      <c r="N87" s="467">
        <f>'Prop Tax'!K85</f>
        <v>20226580.938614521</v>
      </c>
      <c r="O87" s="537">
        <f t="shared" si="12"/>
        <v>87555993.528614551</v>
      </c>
      <c r="P87" s="457"/>
      <c r="Q87" s="182">
        <f t="shared" si="7"/>
        <v>5719645.6197727174</v>
      </c>
      <c r="R87" s="457"/>
      <c r="S87" s="629">
        <f>-Q87/ITA!B85*1000</f>
        <v>-29.379169765506145</v>
      </c>
    </row>
    <row r="88" spans="1:19" s="3" customFormat="1" ht="15.75" thickBot="1" x14ac:dyDescent="0.3">
      <c r="A88" s="687" t="s">
        <v>312</v>
      </c>
      <c r="B88" s="150">
        <v>721122.25</v>
      </c>
      <c r="C88" s="151">
        <f>SUM(C7:C87)</f>
        <v>1.0000000000000004</v>
      </c>
      <c r="D88" s="152">
        <f>'Total Inst. Cost'!G86</f>
        <v>4285662739.4764681</v>
      </c>
      <c r="E88" s="153">
        <f>Facilities!J96</f>
        <v>1005803194.2990003</v>
      </c>
      <c r="F88" s="154">
        <f>'District Services'!K95</f>
        <v>170258064.45440018</v>
      </c>
      <c r="G88" s="155">
        <f>SUM(D88:F88)</f>
        <v>5461723998.2298689</v>
      </c>
      <c r="H88" s="156">
        <f>SUM(H6:H87)</f>
        <v>1227798479.2339039</v>
      </c>
      <c r="I88" s="157">
        <f>SUM(I6:I87)</f>
        <v>4233925519.9959645</v>
      </c>
      <c r="J88" s="158">
        <f t="shared" si="11"/>
        <v>0.77519946474193302</v>
      </c>
      <c r="K88" s="162">
        <f>H88/ITA!B86*1000</f>
        <v>74.990560810061467</v>
      </c>
      <c r="L88" s="159"/>
      <c r="M88" s="631">
        <f>SUM(M7:M87)</f>
        <v>3024977581.3500009</v>
      </c>
      <c r="N88" s="632">
        <f>SUM(N7:N87)</f>
        <v>1208947937.6700773</v>
      </c>
      <c r="O88" s="633">
        <f>SUM(O7:O87)</f>
        <v>4233925519.0200758</v>
      </c>
      <c r="P88" s="458"/>
      <c r="Q88" s="196">
        <f>SUM(Q7:Q87)</f>
        <v>0.20068835467100143</v>
      </c>
      <c r="R88" s="458"/>
      <c r="S88" s="630">
        <v>0</v>
      </c>
    </row>
    <row r="89" spans="1:19" s="284" customFormat="1" ht="12.75" x14ac:dyDescent="0.2">
      <c r="A89" s="284" t="s">
        <v>600</v>
      </c>
      <c r="D89" s="284">
        <f t="shared" ref="D89:I89" si="13">D88/$B$88</f>
        <v>5943.046050064976</v>
      </c>
      <c r="E89" s="284">
        <f t="shared" si="13"/>
        <v>1394.7748724976941</v>
      </c>
      <c r="F89" s="284">
        <f t="shared" si="13"/>
        <v>236.10152710500915</v>
      </c>
      <c r="G89" s="284">
        <f t="shared" si="13"/>
        <v>7573.9224496676798</v>
      </c>
      <c r="H89" s="284">
        <f t="shared" si="13"/>
        <v>1702.6218220751111</v>
      </c>
      <c r="I89" s="284">
        <f t="shared" si="13"/>
        <v>5871.3006289792947</v>
      </c>
      <c r="M89" s="284">
        <f>M88/$B$88</f>
        <v>4194.8193684912658</v>
      </c>
      <c r="N89" s="284">
        <f>N88/$B$88</f>
        <v>1676.4812591347409</v>
      </c>
      <c r="O89" s="284">
        <f>O88/$B$88</f>
        <v>5871.3006276260039</v>
      </c>
      <c r="Q89" s="284">
        <f>Q88/$B$88</f>
        <v>2.7830004506309633E-7</v>
      </c>
    </row>
    <row r="90" spans="1:19" x14ac:dyDescent="0.25">
      <c r="O90" t="s">
        <v>585</v>
      </c>
      <c r="P90" s="371"/>
      <c r="Q90" s="105">
        <f>SUMIF(Q7:Q87,"&gt;0")</f>
        <v>173868361.26095533</v>
      </c>
      <c r="R90" s="371">
        <f>COUNTIF(Q7:Q87,"&gt;0")</f>
        <v>55</v>
      </c>
    </row>
    <row r="91" spans="1:19" x14ac:dyDescent="0.25">
      <c r="G91" s="350"/>
      <c r="I91" s="292"/>
      <c r="O91" t="s">
        <v>586</v>
      </c>
      <c r="P91" s="371"/>
      <c r="Q91" s="105">
        <f>SUMIF(Q7:Q87,"&lt;0")</f>
        <v>-173868361.06026691</v>
      </c>
      <c r="R91" s="371">
        <f>COUNTIF(Q7:Q87,"&lt;0")</f>
        <v>26</v>
      </c>
    </row>
    <row r="92" spans="1:19" x14ac:dyDescent="0.25">
      <c r="G92" s="350"/>
      <c r="I92" s="291"/>
    </row>
  </sheetData>
  <mergeCells count="4">
    <mergeCell ref="D3:G3"/>
    <mergeCell ref="M3:O3"/>
    <mergeCell ref="H3:K3"/>
    <mergeCell ref="D2:K2"/>
  </mergeCells>
  <pageMargins left="0.7" right="0.7" top="0.75" bottom="0.75" header="0.3" footer="0.3"/>
  <pageSetup paperSize="5" scale="67" fitToHeight="0" orientation="landscape" r:id="rId1"/>
  <headerFooter>
    <oddHeader>&amp;R
&amp;"+,Bold"&amp;12Model Page &amp;P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pageSetUpPr fitToPage="1"/>
  </sheetPr>
  <dimension ref="A1:X93"/>
  <sheetViews>
    <sheetView zoomScaleNormal="100" zoomScaleSheetLayoutView="85" workbookViewId="0">
      <selection activeCell="D2" sqref="D2:G2"/>
    </sheetView>
  </sheetViews>
  <sheetFormatPr defaultRowHeight="15" x14ac:dyDescent="0.25"/>
  <cols>
    <col min="1" max="1" width="17.28515625" bestFit="1" customWidth="1"/>
    <col min="2" max="2" width="10.85546875" bestFit="1" customWidth="1"/>
    <col min="3" max="3" width="10.85546875" style="72" bestFit="1" customWidth="1"/>
    <col min="4" max="4" width="15.85546875" hidden="1" customWidth="1"/>
    <col min="5" max="5" width="15.28515625" hidden="1" customWidth="1"/>
    <col min="6" max="6" width="15.140625" hidden="1" customWidth="1"/>
    <col min="7" max="7" width="17" style="38" bestFit="1" customWidth="1"/>
    <col min="8" max="8" width="2.85546875" customWidth="1"/>
    <col min="9" max="9" width="17.28515625" hidden="1" customWidth="1"/>
    <col min="10" max="10" width="15.85546875" hidden="1" customWidth="1"/>
    <col min="11" max="11" width="20" customWidth="1"/>
    <col min="12" max="12" width="2.85546875" customWidth="1"/>
    <col min="13" max="13" width="15.140625" bestFit="1" customWidth="1"/>
    <col min="14" max="14" width="15.5703125" bestFit="1" customWidth="1"/>
    <col min="15" max="15" width="14.28515625" bestFit="1" customWidth="1"/>
    <col min="16" max="16" width="8.7109375" bestFit="1" customWidth="1"/>
    <col min="17" max="17" width="2.5703125" customWidth="1"/>
    <col min="18" max="18" width="14.85546875" bestFit="1" customWidth="1"/>
    <col min="19" max="19" width="17.7109375" customWidth="1"/>
    <col min="20" max="20" width="13.28515625" customWidth="1"/>
    <col min="21" max="21" width="11.42578125" customWidth="1"/>
    <col min="22" max="22" width="15.28515625" bestFit="1" customWidth="1"/>
    <col min="23" max="23" width="10.7109375" customWidth="1"/>
    <col min="24" max="24" width="12.42578125" bestFit="1" customWidth="1"/>
  </cols>
  <sheetData>
    <row r="1" spans="1:24" ht="24" thickBot="1" x14ac:dyDescent="0.4">
      <c r="A1" s="4" t="s">
        <v>691</v>
      </c>
      <c r="B1" s="4"/>
      <c r="C1" s="71"/>
    </row>
    <row r="2" spans="1:24" ht="15.75" thickBot="1" x14ac:dyDescent="0.3">
      <c r="C2" s="475"/>
      <c r="D2" s="919" t="s">
        <v>214</v>
      </c>
      <c r="E2" s="920"/>
      <c r="F2" s="920"/>
      <c r="G2" s="921"/>
    </row>
    <row r="3" spans="1:24" ht="15.75" thickBot="1" x14ac:dyDescent="0.3">
      <c r="C3" s="476"/>
      <c r="D3" s="919" t="s">
        <v>601</v>
      </c>
      <c r="E3" s="920"/>
      <c r="F3" s="920"/>
      <c r="G3" s="921"/>
      <c r="H3" s="477"/>
      <c r="I3" s="919" t="s">
        <v>584</v>
      </c>
      <c r="J3" s="920"/>
      <c r="K3" s="921"/>
      <c r="M3" s="919" t="s">
        <v>664</v>
      </c>
      <c r="N3" s="921"/>
      <c r="R3" s="919" t="s">
        <v>694</v>
      </c>
      <c r="S3" s="920"/>
      <c r="T3" s="921"/>
      <c r="U3" s="919" t="s">
        <v>693</v>
      </c>
      <c r="V3" s="920"/>
      <c r="W3" s="921"/>
    </row>
    <row r="4" spans="1:24" s="3" customFormat="1" ht="45.75" thickBot="1" x14ac:dyDescent="0.3">
      <c r="A4" s="163" t="s">
        <v>0</v>
      </c>
      <c r="B4" s="164" t="s">
        <v>86</v>
      </c>
      <c r="C4" s="165" t="s">
        <v>200</v>
      </c>
      <c r="D4" s="164" t="s">
        <v>166</v>
      </c>
      <c r="E4" s="164" t="s">
        <v>167</v>
      </c>
      <c r="F4" s="164" t="s">
        <v>168</v>
      </c>
      <c r="G4" s="199" t="s">
        <v>99</v>
      </c>
      <c r="H4" s="449"/>
      <c r="I4" s="102" t="s">
        <v>559</v>
      </c>
      <c r="J4" s="57" t="s">
        <v>560</v>
      </c>
      <c r="K4" s="57" t="s">
        <v>91</v>
      </c>
      <c r="L4" s="449"/>
      <c r="M4" s="103" t="s">
        <v>207</v>
      </c>
      <c r="N4" s="199" t="s">
        <v>208</v>
      </c>
      <c r="O4" s="419" t="s">
        <v>692</v>
      </c>
      <c r="P4" s="449" t="s">
        <v>698</v>
      </c>
      <c r="Q4" s="478"/>
      <c r="R4" s="70" t="s">
        <v>588</v>
      </c>
      <c r="S4" s="70" t="s">
        <v>695</v>
      </c>
      <c r="T4" s="70" t="s">
        <v>603</v>
      </c>
      <c r="U4" s="446" t="s">
        <v>589</v>
      </c>
      <c r="V4" s="57" t="s">
        <v>587</v>
      </c>
      <c r="W4" s="449" t="s">
        <v>698</v>
      </c>
      <c r="X4"/>
    </row>
    <row r="5" spans="1:24" s="3" customFormat="1" ht="15.75" thickBot="1" x14ac:dyDescent="0.3">
      <c r="A5" s="746" t="s">
        <v>715</v>
      </c>
      <c r="B5" s="747" t="s">
        <v>716</v>
      </c>
      <c r="C5" s="760" t="s">
        <v>717</v>
      </c>
      <c r="D5" s="741"/>
      <c r="E5" s="742"/>
      <c r="F5" s="742"/>
      <c r="G5" s="750" t="s">
        <v>718</v>
      </c>
      <c r="H5" s="758"/>
      <c r="I5" s="103"/>
      <c r="J5" s="743"/>
      <c r="K5" s="761" t="s">
        <v>719</v>
      </c>
      <c r="L5" s="758"/>
      <c r="M5" s="807" t="s">
        <v>720</v>
      </c>
      <c r="N5" s="750" t="s">
        <v>721</v>
      </c>
      <c r="O5" s="762" t="s">
        <v>722</v>
      </c>
      <c r="P5" s="763" t="s">
        <v>723</v>
      </c>
      <c r="Q5" s="759"/>
      <c r="R5" s="764" t="s">
        <v>724</v>
      </c>
      <c r="S5" s="764" t="s">
        <v>725</v>
      </c>
      <c r="T5" s="764" t="s">
        <v>726</v>
      </c>
      <c r="U5" s="764" t="s">
        <v>727</v>
      </c>
      <c r="V5" s="762" t="s">
        <v>728</v>
      </c>
      <c r="W5" s="763" t="s">
        <v>729</v>
      </c>
      <c r="X5"/>
    </row>
    <row r="6" spans="1:24" s="3" customFormat="1" ht="15.75" thickBot="1" x14ac:dyDescent="0.3">
      <c r="A6" s="135"/>
      <c r="B6" s="171"/>
      <c r="C6" s="437"/>
      <c r="D6" s="173"/>
      <c r="E6" s="174"/>
      <c r="F6" s="174"/>
      <c r="G6" s="410"/>
      <c r="H6" s="425"/>
      <c r="I6" s="98"/>
      <c r="J6" s="197"/>
      <c r="K6" s="149"/>
      <c r="L6" s="425"/>
      <c r="M6" s="496">
        <f>1-N6</f>
        <v>0.30000000000000004</v>
      </c>
      <c r="N6" s="450">
        <v>0.7</v>
      </c>
      <c r="O6" s="425"/>
      <c r="P6" s="425"/>
      <c r="Q6" s="425"/>
      <c r="R6" s="425"/>
      <c r="S6" s="425"/>
      <c r="T6" s="425"/>
      <c r="U6" s="425"/>
      <c r="V6" s="425"/>
      <c r="W6" s="425"/>
    </row>
    <row r="7" spans="1:24" x14ac:dyDescent="0.25">
      <c r="A7" s="167" t="s">
        <v>4</v>
      </c>
      <c r="B7" s="93">
        <v>2915.96</v>
      </c>
      <c r="C7" s="514">
        <v>2.4085764206051687E-3</v>
      </c>
      <c r="D7" s="187">
        <f>'Total Inst. Cost'!G5</f>
        <v>17451819.025048982</v>
      </c>
      <c r="E7" s="188">
        <f>Facilities!J15</f>
        <v>4116542.972948039</v>
      </c>
      <c r="F7" s="189">
        <f>'District Services'!K14</f>
        <v>1236460.9204746105</v>
      </c>
      <c r="G7" s="490">
        <f>SUM(D7:F7)</f>
        <v>22804822.918471634</v>
      </c>
      <c r="H7" s="170"/>
      <c r="I7" s="187">
        <f>'FY 19 State Pmt'!BL6</f>
        <v>13843357.630000006</v>
      </c>
      <c r="J7" s="188">
        <f>'Prop Tax'!K5</f>
        <v>4688008.4115861459</v>
      </c>
      <c r="K7" s="495">
        <f>I7+J7</f>
        <v>18531366.041586153</v>
      </c>
      <c r="L7" s="170"/>
      <c r="M7" s="468">
        <f t="shared" ref="M7:M38" si="0">C7*($G$88*$M$6)</f>
        <v>3946493.8913969551</v>
      </c>
      <c r="N7" s="509">
        <f t="shared" ref="N7:N38" si="1">G7-M7</f>
        <v>18858329.02707468</v>
      </c>
      <c r="O7" s="427">
        <f t="shared" ref="O7:O38" si="2">N7-K7</f>
        <v>326962.98548852652</v>
      </c>
      <c r="P7" s="170">
        <f>M7/ITA!B5*1000</f>
        <v>100.07613282089798</v>
      </c>
      <c r="Q7" s="479"/>
      <c r="R7" s="497">
        <f t="shared" ref="R7:R38" si="3">IF(O7&lt;0,K7-N7,0)</f>
        <v>0</v>
      </c>
      <c r="S7" s="498">
        <f t="shared" ref="S7:S38" si="4">R7+N7</f>
        <v>18858329.02707468</v>
      </c>
      <c r="T7" s="499">
        <f t="shared" ref="T7:T38" si="5">S7-K7</f>
        <v>326962.98548852652</v>
      </c>
      <c r="U7" s="420">
        <f t="shared" ref="U7:U38" si="6">S7/G7</f>
        <v>0.82694476929262439</v>
      </c>
      <c r="V7" s="180">
        <f>G7-S7</f>
        <v>3946493.8913969547</v>
      </c>
      <c r="W7" s="170">
        <f>V7/ITA!B5*1000</f>
        <v>100.07613282089797</v>
      </c>
    </row>
    <row r="8" spans="1:24" x14ac:dyDescent="0.25">
      <c r="A8" s="125" t="s">
        <v>5</v>
      </c>
      <c r="B8" s="126">
        <v>23246.81</v>
      </c>
      <c r="C8" s="515">
        <v>2.8012888782051496E-2</v>
      </c>
      <c r="D8" s="190">
        <f>'Total Inst. Cost'!G6</f>
        <v>138895821.26898709</v>
      </c>
      <c r="E8" s="191">
        <f>Facilities!J16</f>
        <v>32549340.349257912</v>
      </c>
      <c r="F8" s="192">
        <f>'District Services'!K15</f>
        <v>4204534.977216037</v>
      </c>
      <c r="G8" s="491">
        <f t="shared" ref="G8:G71" si="7">SUM(D8:F8)</f>
        <v>175649696.59546104</v>
      </c>
      <c r="H8" s="134"/>
      <c r="I8" s="190">
        <f>'FY 19 State Pmt'!BL7</f>
        <v>100301597.23999999</v>
      </c>
      <c r="J8" s="191">
        <f>'Prop Tax'!K6</f>
        <v>34301239.855596095</v>
      </c>
      <c r="K8" s="488">
        <f t="shared" ref="K8:K71" si="8">I8+J8</f>
        <v>134602837.09559608</v>
      </c>
      <c r="L8" s="134"/>
      <c r="M8" s="469">
        <f t="shared" si="0"/>
        <v>45899600.076202489</v>
      </c>
      <c r="N8" s="510">
        <f t="shared" si="1"/>
        <v>129750096.51925856</v>
      </c>
      <c r="O8" s="426">
        <f>N8-K8</f>
        <v>-4852740.5763375163</v>
      </c>
      <c r="P8" s="134">
        <f>M8/ITA!B6*1000</f>
        <v>100.07613282089798</v>
      </c>
      <c r="Q8" s="480"/>
      <c r="R8" s="500">
        <f>IF(O8&lt;0,K8-N8,0)</f>
        <v>4852740.5763375163</v>
      </c>
      <c r="S8" s="501">
        <f t="shared" si="4"/>
        <v>134602837.09559608</v>
      </c>
      <c r="T8" s="502">
        <f t="shared" si="5"/>
        <v>0</v>
      </c>
      <c r="U8" s="421">
        <f t="shared" si="6"/>
        <v>0.76631408823665648</v>
      </c>
      <c r="V8" s="181">
        <f t="shared" ref="V8:V38" si="9">G8-S8</f>
        <v>41046859.499864966</v>
      </c>
      <c r="W8" s="134">
        <f>V8/ITA!B6*1000</f>
        <v>89.495571995604308</v>
      </c>
    </row>
    <row r="9" spans="1:24" x14ac:dyDescent="0.25">
      <c r="A9" s="123" t="s">
        <v>6</v>
      </c>
      <c r="B9" s="47">
        <v>1028.55</v>
      </c>
      <c r="C9" s="516">
        <v>1.2550056023903104E-3</v>
      </c>
      <c r="D9" s="187">
        <f>'Total Inst. Cost'!G7</f>
        <v>6507619.5006696107</v>
      </c>
      <c r="E9" s="188">
        <f>Facilities!J17</f>
        <v>1509651.1383668971</v>
      </c>
      <c r="F9" s="188">
        <f>'District Services'!K16</f>
        <v>1158361.8245410377</v>
      </c>
      <c r="G9" s="490">
        <f t="shared" si="7"/>
        <v>9175632.4635775462</v>
      </c>
      <c r="H9" s="124"/>
      <c r="I9" s="187">
        <f>'FY 19 State Pmt'!BL8</f>
        <v>5482811.0600000015</v>
      </c>
      <c r="J9" s="188">
        <f>'Prop Tax'!K7</f>
        <v>3689322.6096002236</v>
      </c>
      <c r="K9" s="487">
        <f>I9+J9</f>
        <v>9172133.669600226</v>
      </c>
      <c r="L9" s="124"/>
      <c r="M9" s="471">
        <f t="shared" si="0"/>
        <v>2056348.2649464277</v>
      </c>
      <c r="N9" s="511">
        <f t="shared" si="1"/>
        <v>7119284.198631119</v>
      </c>
      <c r="O9" s="427">
        <f t="shared" si="2"/>
        <v>-2052849.470969107</v>
      </c>
      <c r="P9" s="124">
        <f>M9/ITA!B7*1000</f>
        <v>100.07613282089798</v>
      </c>
      <c r="Q9" s="481"/>
      <c r="R9" s="503">
        <f t="shared" si="3"/>
        <v>2052849.470969107</v>
      </c>
      <c r="S9" s="504">
        <f t="shared" si="4"/>
        <v>9172133.669600226</v>
      </c>
      <c r="T9" s="505">
        <f t="shared" si="5"/>
        <v>0</v>
      </c>
      <c r="U9" s="422">
        <f t="shared" si="6"/>
        <v>0.99961868634219941</v>
      </c>
      <c r="V9" s="180">
        <f t="shared" si="9"/>
        <v>3498.7939773201942</v>
      </c>
      <c r="W9" s="124">
        <f>V9/ITA!B7*1000</f>
        <v>0.17027552032698887</v>
      </c>
    </row>
    <row r="10" spans="1:24" x14ac:dyDescent="0.25">
      <c r="A10" s="125" t="s">
        <v>7</v>
      </c>
      <c r="B10" s="126">
        <v>9875.19</v>
      </c>
      <c r="C10" s="515">
        <v>7.5280630788636584E-3</v>
      </c>
      <c r="D10" s="190">
        <f>'Total Inst. Cost'!G8</f>
        <v>57334020.757144377</v>
      </c>
      <c r="E10" s="191">
        <f>Facilities!J18</f>
        <v>13489489.024875108</v>
      </c>
      <c r="F10" s="192">
        <f>'District Services'!K17</f>
        <v>2570120.165301017</v>
      </c>
      <c r="G10" s="491">
        <f t="shared" si="7"/>
        <v>73393629.947320491</v>
      </c>
      <c r="H10" s="134"/>
      <c r="I10" s="190">
        <f>'FY 19 State Pmt'!BL9</f>
        <v>45349949.480000004</v>
      </c>
      <c r="J10" s="191">
        <f>'Prop Tax'!K8</f>
        <v>12492899.559404787</v>
      </c>
      <c r="K10" s="488">
        <f t="shared" si="8"/>
        <v>57842849.039404795</v>
      </c>
      <c r="L10" s="134"/>
      <c r="M10" s="469">
        <f t="shared" si="0"/>
        <v>12334860.833405366</v>
      </c>
      <c r="N10" s="510">
        <f t="shared" si="1"/>
        <v>61058769.113915123</v>
      </c>
      <c r="O10" s="426">
        <f t="shared" si="2"/>
        <v>3215920.0745103285</v>
      </c>
      <c r="P10" s="134">
        <f>M10/ITA!B8*1000</f>
        <v>100.07613282089798</v>
      </c>
      <c r="Q10" s="480"/>
      <c r="R10" s="500">
        <f t="shared" si="3"/>
        <v>0</v>
      </c>
      <c r="S10" s="501">
        <f t="shared" si="4"/>
        <v>61058769.113915123</v>
      </c>
      <c r="T10" s="502">
        <f t="shared" si="5"/>
        <v>3215920.0745103285</v>
      </c>
      <c r="U10" s="421">
        <f t="shared" si="6"/>
        <v>0.83193553933415032</v>
      </c>
      <c r="V10" s="181">
        <f t="shared" si="9"/>
        <v>12334860.833405368</v>
      </c>
      <c r="W10" s="134">
        <f>V10/ITA!B8*1000</f>
        <v>100.07613282089801</v>
      </c>
    </row>
    <row r="11" spans="1:24" x14ac:dyDescent="0.25">
      <c r="A11" s="123" t="s">
        <v>8</v>
      </c>
      <c r="B11" s="47">
        <v>3618.89</v>
      </c>
      <c r="C11" s="516">
        <v>2.403114403844644E-3</v>
      </c>
      <c r="D11" s="187">
        <f>'Total Inst. Cost'!G9</f>
        <v>22183673.082758758</v>
      </c>
      <c r="E11" s="188">
        <f>Facilities!J19</f>
        <v>5126137.8278631568</v>
      </c>
      <c r="F11" s="189">
        <f>'District Services'!K18</f>
        <v>1267198.941009718</v>
      </c>
      <c r="G11" s="490">
        <f t="shared" si="7"/>
        <v>28577009.851631634</v>
      </c>
      <c r="H11" s="124"/>
      <c r="I11" s="187">
        <f>'FY 19 State Pmt'!BL10</f>
        <v>18404965.759999994</v>
      </c>
      <c r="J11" s="188">
        <f>'Prop Tax'!K9</f>
        <v>5232157.2744191503</v>
      </c>
      <c r="K11" s="487">
        <f t="shared" si="8"/>
        <v>23637123.034419145</v>
      </c>
      <c r="L11" s="124"/>
      <c r="M11" s="471">
        <f t="shared" si="0"/>
        <v>3937544.2829910479</v>
      </c>
      <c r="N11" s="511">
        <f t="shared" si="1"/>
        <v>24639465.568640586</v>
      </c>
      <c r="O11" s="427">
        <f t="shared" si="2"/>
        <v>1002342.5342214406</v>
      </c>
      <c r="P11" s="124">
        <f>M11/ITA!B9*1000</f>
        <v>100.07613282089798</v>
      </c>
      <c r="Q11" s="481"/>
      <c r="R11" s="503">
        <f t="shared" si="3"/>
        <v>0</v>
      </c>
      <c r="S11" s="504">
        <f t="shared" si="4"/>
        <v>24639465.568640586</v>
      </c>
      <c r="T11" s="505">
        <f t="shared" si="5"/>
        <v>1002342.5342214406</v>
      </c>
      <c r="U11" s="422">
        <f t="shared" si="6"/>
        <v>0.86221286609640757</v>
      </c>
      <c r="V11" s="180">
        <f t="shared" si="9"/>
        <v>3937544.2829910479</v>
      </c>
      <c r="W11" s="124">
        <f>V11/ITA!B9*1000</f>
        <v>100.07613282089798</v>
      </c>
    </row>
    <row r="12" spans="1:24" x14ac:dyDescent="0.25">
      <c r="A12" s="125" t="s">
        <v>9</v>
      </c>
      <c r="B12" s="126">
        <v>2479.0500000000002</v>
      </c>
      <c r="C12" s="515">
        <v>1.9237556145916372E-3</v>
      </c>
      <c r="D12" s="190">
        <f>'Total Inst. Cost'!G10</f>
        <v>15298595.086391399</v>
      </c>
      <c r="E12" s="191">
        <f>Facilities!J20</f>
        <v>3556444.4860893651</v>
      </c>
      <c r="F12" s="192">
        <f>'District Services'!K19</f>
        <v>1220232.1101873219</v>
      </c>
      <c r="G12" s="491">
        <f t="shared" si="7"/>
        <v>20075271.682668086</v>
      </c>
      <c r="H12" s="134"/>
      <c r="I12" s="190">
        <f>'FY 19 State Pmt'!BL11</f>
        <v>12974059.230000002</v>
      </c>
      <c r="J12" s="191">
        <f>'Prop Tax'!K10</f>
        <v>2928063.056532206</v>
      </c>
      <c r="K12" s="488">
        <f t="shared" si="8"/>
        <v>15902122.286532208</v>
      </c>
      <c r="L12" s="134"/>
      <c r="M12" s="469">
        <f t="shared" si="0"/>
        <v>3152106.6620833795</v>
      </c>
      <c r="N12" s="510">
        <f t="shared" si="1"/>
        <v>16923165.020584706</v>
      </c>
      <c r="O12" s="426">
        <f t="shared" si="2"/>
        <v>1021042.7340524979</v>
      </c>
      <c r="P12" s="134">
        <f>M12/ITA!B10*1000</f>
        <v>100.07613282089798</v>
      </c>
      <c r="Q12" s="480"/>
      <c r="R12" s="500">
        <f t="shared" si="3"/>
        <v>0</v>
      </c>
      <c r="S12" s="501">
        <f t="shared" si="4"/>
        <v>16923165.020584706</v>
      </c>
      <c r="T12" s="502">
        <f t="shared" si="5"/>
        <v>1021042.7340524979</v>
      </c>
      <c r="U12" s="421">
        <f t="shared" si="6"/>
        <v>0.84298560378613752</v>
      </c>
      <c r="V12" s="181">
        <f t="shared" si="9"/>
        <v>3152106.6620833799</v>
      </c>
      <c r="W12" s="134">
        <f>V12/ITA!B10*1000</f>
        <v>100.076132820898</v>
      </c>
    </row>
    <row r="13" spans="1:24" x14ac:dyDescent="0.25">
      <c r="A13" s="123" t="s">
        <v>10</v>
      </c>
      <c r="B13" s="47">
        <v>2744.29</v>
      </c>
      <c r="C13" s="516">
        <v>4.6723909517254244E-3</v>
      </c>
      <c r="D13" s="187">
        <f>'Total Inst. Cost'!G11</f>
        <v>16585854.022307459</v>
      </c>
      <c r="E13" s="188">
        <f>Facilities!J21</f>
        <v>3871458.191315644</v>
      </c>
      <c r="F13" s="189">
        <f>'District Services'!K20</f>
        <v>1229017.169348479</v>
      </c>
      <c r="G13" s="492">
        <f t="shared" si="7"/>
        <v>21686329.382971581</v>
      </c>
      <c r="H13" s="124"/>
      <c r="I13" s="187">
        <f>'FY 19 State Pmt'!BL12</f>
        <v>11346702.609999999</v>
      </c>
      <c r="J13" s="188">
        <f>'Prop Tax'!K11</f>
        <v>5828525.2217767099</v>
      </c>
      <c r="K13" s="487">
        <f t="shared" si="8"/>
        <v>17175227.831776708</v>
      </c>
      <c r="L13" s="124"/>
      <c r="M13" s="471">
        <f t="shared" si="0"/>
        <v>7655792.9370452557</v>
      </c>
      <c r="N13" s="511">
        <f t="shared" si="1"/>
        <v>14030536.445926325</v>
      </c>
      <c r="O13" s="427">
        <f t="shared" si="2"/>
        <v>-3144691.385850383</v>
      </c>
      <c r="P13" s="124">
        <f>M13/ITA!B11*1000</f>
        <v>100.07613282089798</v>
      </c>
      <c r="Q13" s="481"/>
      <c r="R13" s="503">
        <f t="shared" si="3"/>
        <v>3144691.385850383</v>
      </c>
      <c r="S13" s="504">
        <f t="shared" si="4"/>
        <v>17175227.831776708</v>
      </c>
      <c r="T13" s="505">
        <f t="shared" si="5"/>
        <v>0</v>
      </c>
      <c r="U13" s="422">
        <f t="shared" si="6"/>
        <v>0.79198408953720612</v>
      </c>
      <c r="V13" s="180">
        <f t="shared" si="9"/>
        <v>4511101.5511948727</v>
      </c>
      <c r="W13" s="124">
        <f>V13/ITA!B11*1000</f>
        <v>58.968888228601308</v>
      </c>
    </row>
    <row r="14" spans="1:24" x14ac:dyDescent="0.25">
      <c r="A14" s="125" t="s">
        <v>11</v>
      </c>
      <c r="B14" s="126">
        <v>12671.61</v>
      </c>
      <c r="C14" s="515">
        <v>1.4160792416760841E-2</v>
      </c>
      <c r="D14" s="190">
        <f>'Total Inst. Cost'!G12</f>
        <v>75296150.81455341</v>
      </c>
      <c r="E14" s="191">
        <f>Facilities!J22</f>
        <v>17769006.748170268</v>
      </c>
      <c r="F14" s="192">
        <f>'District Services'!K21</f>
        <v>3457841.2403447316</v>
      </c>
      <c r="G14" s="491">
        <f t="shared" si="7"/>
        <v>96522998.803068414</v>
      </c>
      <c r="H14" s="134"/>
      <c r="I14" s="190">
        <f>'FY 19 State Pmt'!BL13</f>
        <v>56319472.889999993</v>
      </c>
      <c r="J14" s="191">
        <f>'Prop Tax'!K12</f>
        <v>19633766.877142113</v>
      </c>
      <c r="K14" s="488">
        <f t="shared" si="8"/>
        <v>75953239.767142102</v>
      </c>
      <c r="L14" s="134"/>
      <c r="M14" s="469">
        <f t="shared" si="0"/>
        <v>23202701.932972275</v>
      </c>
      <c r="N14" s="510">
        <f t="shared" si="1"/>
        <v>73320296.870096147</v>
      </c>
      <c r="O14" s="426">
        <f t="shared" si="2"/>
        <v>-2632942.8970459551</v>
      </c>
      <c r="P14" s="134">
        <f>M14/ITA!B12*1000</f>
        <v>100.076132820898</v>
      </c>
      <c r="Q14" s="480"/>
      <c r="R14" s="500">
        <f t="shared" si="3"/>
        <v>2632942.8970459551</v>
      </c>
      <c r="S14" s="501">
        <f t="shared" si="4"/>
        <v>75953239.767142102</v>
      </c>
      <c r="T14" s="502">
        <f t="shared" si="5"/>
        <v>0</v>
      </c>
      <c r="U14" s="421">
        <f t="shared" si="6"/>
        <v>0.78689266505391242</v>
      </c>
      <c r="V14" s="181">
        <f t="shared" si="9"/>
        <v>20569759.035926312</v>
      </c>
      <c r="W14" s="134">
        <f>V14/ITA!B12*1000</f>
        <v>88.71992336581846</v>
      </c>
    </row>
    <row r="15" spans="1:24" x14ac:dyDescent="0.25">
      <c r="A15" s="123" t="s">
        <v>12</v>
      </c>
      <c r="B15" s="47">
        <v>1256.76</v>
      </c>
      <c r="C15" s="516">
        <v>7.9907861340166339E-4</v>
      </c>
      <c r="D15" s="187">
        <f>'Total Inst. Cost'!G13</f>
        <v>7686152.0506446445</v>
      </c>
      <c r="E15" s="188">
        <f>Facilities!J23</f>
        <v>1802817.515304361</v>
      </c>
      <c r="F15" s="189">
        <f>'District Services'!K22</f>
        <v>1166864.6720927164</v>
      </c>
      <c r="G15" s="490">
        <f t="shared" si="7"/>
        <v>10655834.238041723</v>
      </c>
      <c r="H15" s="124"/>
      <c r="I15" s="187">
        <f>'FY 19 State Pmt'!BL14</f>
        <v>6659539.7800000021</v>
      </c>
      <c r="J15" s="188">
        <f>'Prop Tax'!K13</f>
        <v>2576980.9675364122</v>
      </c>
      <c r="K15" s="487">
        <f t="shared" si="8"/>
        <v>9236520.7475364134</v>
      </c>
      <c r="L15" s="124"/>
      <c r="M15" s="471">
        <f t="shared" si="0"/>
        <v>1309304.0517864341</v>
      </c>
      <c r="N15" s="511">
        <f t="shared" si="1"/>
        <v>9346530.1862552892</v>
      </c>
      <c r="O15" s="427">
        <f t="shared" si="2"/>
        <v>110009.43871887587</v>
      </c>
      <c r="P15" s="124">
        <f>M15/ITA!B13*1000</f>
        <v>100.076132820898</v>
      </c>
      <c r="Q15" s="481"/>
      <c r="R15" s="503">
        <f t="shared" si="3"/>
        <v>0</v>
      </c>
      <c r="S15" s="504">
        <f t="shared" si="4"/>
        <v>9346530.1862552892</v>
      </c>
      <c r="T15" s="505">
        <f t="shared" si="5"/>
        <v>110009.43871887587</v>
      </c>
      <c r="U15" s="422">
        <f t="shared" si="6"/>
        <v>0.87712796365467383</v>
      </c>
      <c r="V15" s="180">
        <f t="shared" si="9"/>
        <v>1309304.0517864339</v>
      </c>
      <c r="W15" s="124">
        <f>V15/ITA!B13*1000</f>
        <v>100.07613282089797</v>
      </c>
    </row>
    <row r="16" spans="1:24" x14ac:dyDescent="0.25">
      <c r="A16" s="125" t="s">
        <v>13</v>
      </c>
      <c r="B16" s="126">
        <v>638.25</v>
      </c>
      <c r="C16" s="515">
        <v>6.1247110850467428E-4</v>
      </c>
      <c r="D16" s="190">
        <f>'Total Inst. Cost'!G14</f>
        <v>4244941.7549113333</v>
      </c>
      <c r="E16" s="191">
        <f>Facilities!J24</f>
        <v>980612.75196510064</v>
      </c>
      <c r="F16" s="192">
        <f>'District Services'!K23</f>
        <v>1142640.1561674955</v>
      </c>
      <c r="G16" s="491">
        <f t="shared" si="7"/>
        <v>6368194.6630439293</v>
      </c>
      <c r="H16" s="134"/>
      <c r="I16" s="190">
        <f>'FY 19 State Pmt'!BL15</f>
        <v>3543822.72</v>
      </c>
      <c r="J16" s="191">
        <f>'Prop Tax'!K14</f>
        <v>1584188.5561002514</v>
      </c>
      <c r="K16" s="488">
        <f t="shared" si="8"/>
        <v>5128011.2761002518</v>
      </c>
      <c r="L16" s="134"/>
      <c r="M16" s="469">
        <f t="shared" si="0"/>
        <v>1003544.4454627291</v>
      </c>
      <c r="N16" s="510">
        <f t="shared" si="1"/>
        <v>5364650.2175812004</v>
      </c>
      <c r="O16" s="426">
        <f t="shared" si="2"/>
        <v>236638.94148094859</v>
      </c>
      <c r="P16" s="134">
        <f>M16/ITA!B14*1000</f>
        <v>100.07613282089798</v>
      </c>
      <c r="Q16" s="480"/>
      <c r="R16" s="500">
        <f t="shared" si="3"/>
        <v>0</v>
      </c>
      <c r="S16" s="501">
        <f t="shared" si="4"/>
        <v>5364650.2175812004</v>
      </c>
      <c r="T16" s="502">
        <f t="shared" si="5"/>
        <v>236638.94148094859</v>
      </c>
      <c r="U16" s="421">
        <f t="shared" si="6"/>
        <v>0.84241303877117268</v>
      </c>
      <c r="V16" s="181">
        <f t="shared" si="9"/>
        <v>1003544.4454627289</v>
      </c>
      <c r="W16" s="134">
        <f>V16/ITA!B14*1000</f>
        <v>100.07613282089797</v>
      </c>
    </row>
    <row r="17" spans="1:23" x14ac:dyDescent="0.25">
      <c r="A17" s="123" t="s">
        <v>14</v>
      </c>
      <c r="B17" s="47">
        <v>587.14</v>
      </c>
      <c r="C17" s="516">
        <v>4.7623242780110166E-4</v>
      </c>
      <c r="D17" s="187">
        <f>'Total Inst. Cost'!G15</f>
        <v>3857935.0405306006</v>
      </c>
      <c r="E17" s="188">
        <f>Facilities!J25</f>
        <v>884186.53300260997</v>
      </c>
      <c r="F17" s="189">
        <f>'District Services'!K24</f>
        <v>1139423.0827173365</v>
      </c>
      <c r="G17" s="492">
        <f t="shared" si="7"/>
        <v>5881544.6562505476</v>
      </c>
      <c r="H17" s="124"/>
      <c r="I17" s="187">
        <f>'FY 19 State Pmt'!BL16</f>
        <v>3216262.62</v>
      </c>
      <c r="J17" s="188">
        <f>'Prop Tax'!K15</f>
        <v>753068.87708475871</v>
      </c>
      <c r="K17" s="487">
        <f t="shared" si="8"/>
        <v>3969331.4970847587</v>
      </c>
      <c r="L17" s="124"/>
      <c r="M17" s="471">
        <f t="shared" si="0"/>
        <v>780315.02389696531</v>
      </c>
      <c r="N17" s="511">
        <f t="shared" si="1"/>
        <v>5101229.6323535824</v>
      </c>
      <c r="O17" s="427">
        <f t="shared" si="2"/>
        <v>1131898.1352688237</v>
      </c>
      <c r="P17" s="124">
        <f>M17/ITA!B15*1000</f>
        <v>100.07613282089798</v>
      </c>
      <c r="Q17" s="481"/>
      <c r="R17" s="503">
        <f t="shared" si="3"/>
        <v>0</v>
      </c>
      <c r="S17" s="504">
        <f t="shared" si="4"/>
        <v>5101229.6323535824</v>
      </c>
      <c r="T17" s="505">
        <f t="shared" si="5"/>
        <v>1131898.1352688237</v>
      </c>
      <c r="U17" s="422">
        <f t="shared" si="6"/>
        <v>0.86732821571494934</v>
      </c>
      <c r="V17" s="180">
        <f t="shared" si="9"/>
        <v>780315.0238969652</v>
      </c>
      <c r="W17" s="124">
        <f>V17/ITA!B15*1000</f>
        <v>100.07613282089797</v>
      </c>
    </row>
    <row r="18" spans="1:23" x14ac:dyDescent="0.25">
      <c r="A18" s="125" t="s">
        <v>15</v>
      </c>
      <c r="B18" s="126">
        <v>822.79</v>
      </c>
      <c r="C18" s="515">
        <v>6.907192565173537E-4</v>
      </c>
      <c r="D18" s="190">
        <f>'Total Inst. Cost'!G16</f>
        <v>5137142.9014278771</v>
      </c>
      <c r="E18" s="191">
        <f>Facilities!J26</f>
        <v>1190713.3936763052</v>
      </c>
      <c r="F18" s="192">
        <f>'District Services'!K25</f>
        <v>1148365.3868798784</v>
      </c>
      <c r="G18" s="491">
        <f t="shared" si="7"/>
        <v>7476221.6819840604</v>
      </c>
      <c r="H18" s="134"/>
      <c r="I18" s="190">
        <f>'FY 19 State Pmt'!BL17</f>
        <v>4452688.8899999997</v>
      </c>
      <c r="J18" s="191">
        <f>'Prop Tax'!K16</f>
        <v>1191271.1258911302</v>
      </c>
      <c r="K18" s="488">
        <f t="shared" si="8"/>
        <v>5643960.0158911301</v>
      </c>
      <c r="L18" s="134"/>
      <c r="M18" s="469">
        <f t="shared" si="0"/>
        <v>1131755.3818080972</v>
      </c>
      <c r="N18" s="510">
        <f t="shared" si="1"/>
        <v>6344466.300175963</v>
      </c>
      <c r="O18" s="426">
        <f t="shared" si="2"/>
        <v>700506.28428483289</v>
      </c>
      <c r="P18" s="134">
        <f>M18/ITA!B16*1000</f>
        <v>100.07613282089797</v>
      </c>
      <c r="Q18" s="480"/>
      <c r="R18" s="500">
        <f t="shared" si="3"/>
        <v>0</v>
      </c>
      <c r="S18" s="501">
        <f t="shared" si="4"/>
        <v>6344466.300175963</v>
      </c>
      <c r="T18" s="502">
        <f t="shared" si="5"/>
        <v>700506.28428483289</v>
      </c>
      <c r="U18" s="421">
        <f t="shared" si="6"/>
        <v>0.84861933875832463</v>
      </c>
      <c r="V18" s="181">
        <f t="shared" si="9"/>
        <v>1131755.3818080975</v>
      </c>
      <c r="W18" s="134">
        <f>V18/ITA!B16*1000</f>
        <v>100.076132820898</v>
      </c>
    </row>
    <row r="19" spans="1:23" x14ac:dyDescent="0.25">
      <c r="A19" s="123" t="s">
        <v>16</v>
      </c>
      <c r="B19" s="47">
        <v>2117.3200000000002</v>
      </c>
      <c r="C19" s="516">
        <v>1.3819499128908585E-3</v>
      </c>
      <c r="D19" s="187">
        <f>'Total Inst. Cost'!G17</f>
        <v>13252957.664817503</v>
      </c>
      <c r="E19" s="188">
        <f>Facilities!J27</f>
        <v>3080651.8666226477</v>
      </c>
      <c r="F19" s="189">
        <f>'District Services'!K26</f>
        <v>1206280.78467423</v>
      </c>
      <c r="G19" s="490">
        <f t="shared" si="7"/>
        <v>17539890.316114381</v>
      </c>
      <c r="H19" s="124"/>
      <c r="I19" s="187">
        <f>'FY 19 State Pmt'!BL18</f>
        <v>11164347.09</v>
      </c>
      <c r="J19" s="188">
        <f>'Prop Tax'!K17</f>
        <v>2508104.3512225533</v>
      </c>
      <c r="K19" s="487">
        <f t="shared" si="8"/>
        <v>13672451.441222552</v>
      </c>
      <c r="L19" s="124"/>
      <c r="M19" s="471">
        <f t="shared" si="0"/>
        <v>2264348.7010763041</v>
      </c>
      <c r="N19" s="511">
        <f t="shared" si="1"/>
        <v>15275541.615038076</v>
      </c>
      <c r="O19" s="427">
        <f t="shared" si="2"/>
        <v>1603090.1738155242</v>
      </c>
      <c r="P19" s="124">
        <f>M19/ITA!B17*1000</f>
        <v>100.07613282089798</v>
      </c>
      <c r="Q19" s="481"/>
      <c r="R19" s="503">
        <f t="shared" si="3"/>
        <v>0</v>
      </c>
      <c r="S19" s="504">
        <f t="shared" si="4"/>
        <v>15275541.615038076</v>
      </c>
      <c r="T19" s="505">
        <f t="shared" si="5"/>
        <v>1603090.1738155242</v>
      </c>
      <c r="U19" s="422">
        <f t="shared" si="6"/>
        <v>0.87090291556749444</v>
      </c>
      <c r="V19" s="180">
        <f t="shared" si="9"/>
        <v>2264348.7010763045</v>
      </c>
      <c r="W19" s="124">
        <f>V19/ITA!B17*1000</f>
        <v>100.076132820898</v>
      </c>
    </row>
    <row r="20" spans="1:23" x14ac:dyDescent="0.25">
      <c r="A20" s="125" t="s">
        <v>17</v>
      </c>
      <c r="B20" s="126">
        <v>21287.25</v>
      </c>
      <c r="C20" s="515">
        <v>7.7120292428984563E-2</v>
      </c>
      <c r="D20" s="190">
        <f>'Total Inst. Cost'!G18</f>
        <v>123173614.89842042</v>
      </c>
      <c r="E20" s="191">
        <f>Facilities!J28</f>
        <v>28771726.305254482</v>
      </c>
      <c r="F20" s="192">
        <f>'District Services'!K27</f>
        <v>4077752.1450276757</v>
      </c>
      <c r="G20" s="491">
        <f t="shared" si="7"/>
        <v>156023093.34870258</v>
      </c>
      <c r="H20" s="134"/>
      <c r="I20" s="190">
        <f>'FY 19 State Pmt'!BL19</f>
        <v>38788642.430000007</v>
      </c>
      <c r="J20" s="191">
        <f>'Prop Tax'!K18</f>
        <v>55812655.439504087</v>
      </c>
      <c r="K20" s="488">
        <f t="shared" si="8"/>
        <v>94601297.869504094</v>
      </c>
      <c r="L20" s="134"/>
      <c r="M20" s="469">
        <f t="shared" si="0"/>
        <v>126362925.5729671</v>
      </c>
      <c r="N20" s="510">
        <f t="shared" si="1"/>
        <v>29660167.775735483</v>
      </c>
      <c r="O20" s="426">
        <f t="shared" si="2"/>
        <v>-64941130.093768612</v>
      </c>
      <c r="P20" s="134">
        <f>M20/ITA!B18*1000</f>
        <v>100.07613282089797</v>
      </c>
      <c r="Q20" s="480"/>
      <c r="R20" s="500">
        <f t="shared" si="3"/>
        <v>64941130.093768612</v>
      </c>
      <c r="S20" s="501">
        <f t="shared" si="4"/>
        <v>94601297.869504094</v>
      </c>
      <c r="T20" s="502">
        <f t="shared" si="5"/>
        <v>0</v>
      </c>
      <c r="U20" s="421">
        <f t="shared" si="6"/>
        <v>0.60632881863248067</v>
      </c>
      <c r="V20" s="181">
        <f t="shared" si="9"/>
        <v>61421795.479198486</v>
      </c>
      <c r="W20" s="134">
        <f>V20/ITA!B18*1000</f>
        <v>48.644455916184477</v>
      </c>
    </row>
    <row r="21" spans="1:23" x14ac:dyDescent="0.25">
      <c r="A21" s="123" t="s">
        <v>18</v>
      </c>
      <c r="B21" s="47">
        <v>34520.18</v>
      </c>
      <c r="C21" s="516">
        <v>3.989781728574758E-2</v>
      </c>
      <c r="D21" s="187">
        <f>'Total Inst. Cost'!G19</f>
        <v>200496627.66509283</v>
      </c>
      <c r="E21" s="188">
        <f>Facilities!J29</f>
        <v>47308072.134319797</v>
      </c>
      <c r="F21" s="189">
        <f>'District Services'!K28</f>
        <v>4636368.3950841073</v>
      </c>
      <c r="G21" s="492">
        <f t="shared" si="7"/>
        <v>252441068.19449672</v>
      </c>
      <c r="H21" s="124"/>
      <c r="I21" s="187">
        <f>'FY 19 State Pmt'!BL20</f>
        <v>148881261.52000007</v>
      </c>
      <c r="J21" s="188">
        <f>'Prop Tax'!K19</f>
        <v>43082549.763775848</v>
      </c>
      <c r="K21" s="487">
        <f t="shared" si="8"/>
        <v>191963811.28377593</v>
      </c>
      <c r="L21" s="124"/>
      <c r="M21" s="471">
        <f t="shared" si="0"/>
        <v>65373259.84396743</v>
      </c>
      <c r="N21" s="511">
        <f t="shared" si="1"/>
        <v>187067808.35052928</v>
      </c>
      <c r="O21" s="427">
        <f t="shared" si="2"/>
        <v>-4896002.9332466424</v>
      </c>
      <c r="P21" s="124">
        <f>M21/ITA!B19*1000</f>
        <v>100.076132820898</v>
      </c>
      <c r="Q21" s="481"/>
      <c r="R21" s="503">
        <f t="shared" si="3"/>
        <v>4896002.9332466424</v>
      </c>
      <c r="S21" s="504">
        <f t="shared" si="4"/>
        <v>191963811.28377593</v>
      </c>
      <c r="T21" s="505">
        <f t="shared" si="5"/>
        <v>0</v>
      </c>
      <c r="U21" s="422">
        <f t="shared" si="6"/>
        <v>0.76043019726043448</v>
      </c>
      <c r="V21" s="180">
        <f t="shared" si="9"/>
        <v>60477256.910720795</v>
      </c>
      <c r="W21" s="124">
        <f>V21/ITA!B19*1000</f>
        <v>92.581125825552164</v>
      </c>
    </row>
    <row r="22" spans="1:23" x14ac:dyDescent="0.25">
      <c r="A22" s="125" t="s">
        <v>19</v>
      </c>
      <c r="B22" s="126">
        <v>1587.18</v>
      </c>
      <c r="C22" s="515">
        <v>4.0352253928636868E-3</v>
      </c>
      <c r="D22" s="190">
        <f>'Total Inst. Cost'!G20</f>
        <v>9974057.7382178698</v>
      </c>
      <c r="E22" s="191">
        <f>Facilities!J30</f>
        <v>2320737.9786725938</v>
      </c>
      <c r="F22" s="192">
        <f>'District Services'!K29</f>
        <v>1183162.9587093696</v>
      </c>
      <c r="G22" s="491">
        <f t="shared" si="7"/>
        <v>13477958.675599834</v>
      </c>
      <c r="H22" s="134"/>
      <c r="I22" s="190">
        <f>'FY 19 State Pmt'!BL21</f>
        <v>5572057.169999999</v>
      </c>
      <c r="J22" s="191">
        <f>'Prop Tax'!K20</f>
        <v>4167273.6631478528</v>
      </c>
      <c r="K22" s="488">
        <f t="shared" si="8"/>
        <v>9739330.8331478518</v>
      </c>
      <c r="L22" s="134"/>
      <c r="M22" s="469">
        <f t="shared" si="0"/>
        <v>6611786.2099410463</v>
      </c>
      <c r="N22" s="510">
        <f t="shared" si="1"/>
        <v>6866172.4656587876</v>
      </c>
      <c r="O22" s="426">
        <f t="shared" si="2"/>
        <v>-2873158.3674890641</v>
      </c>
      <c r="P22" s="134">
        <f>M22/ITA!B20*1000</f>
        <v>100.076132820898</v>
      </c>
      <c r="Q22" s="480"/>
      <c r="R22" s="500">
        <f t="shared" si="3"/>
        <v>2873158.3674890641</v>
      </c>
      <c r="S22" s="501">
        <f t="shared" si="4"/>
        <v>9739330.8331478518</v>
      </c>
      <c r="T22" s="502">
        <f t="shared" si="5"/>
        <v>0</v>
      </c>
      <c r="U22" s="421">
        <f t="shared" si="6"/>
        <v>0.72261171499061627</v>
      </c>
      <c r="V22" s="181">
        <f t="shared" si="9"/>
        <v>3738627.8424519822</v>
      </c>
      <c r="W22" s="134">
        <f>V22/ITA!B20*1000</f>
        <v>56.587948346936635</v>
      </c>
    </row>
    <row r="23" spans="1:23" x14ac:dyDescent="0.25">
      <c r="A23" s="123" t="s">
        <v>20</v>
      </c>
      <c r="B23" s="47">
        <v>46485.36</v>
      </c>
      <c r="C23" s="516">
        <v>0.14230496785172694</v>
      </c>
      <c r="D23" s="187">
        <f>'Total Inst. Cost'!G21</f>
        <v>263670291.25483599</v>
      </c>
      <c r="E23" s="188">
        <f>Facilities!J31</f>
        <v>62450010.15781197</v>
      </c>
      <c r="F23" s="189">
        <f>'District Services'!K30</f>
        <v>5072409.4899968803</v>
      </c>
      <c r="G23" s="490">
        <f t="shared" si="7"/>
        <v>331192710.90264487</v>
      </c>
      <c r="H23" s="124"/>
      <c r="I23" s="187">
        <f>'FY 19 State Pmt'!BL22</f>
        <v>108460893.19000001</v>
      </c>
      <c r="J23" s="188">
        <f>'Prop Tax'!K21</f>
        <v>97634163.722700834</v>
      </c>
      <c r="K23" s="487">
        <f t="shared" si="8"/>
        <v>206095056.91270083</v>
      </c>
      <c r="L23" s="124"/>
      <c r="M23" s="471">
        <f t="shared" si="0"/>
        <v>233169137.39493215</v>
      </c>
      <c r="N23" s="511">
        <f t="shared" si="1"/>
        <v>98023573.507712722</v>
      </c>
      <c r="O23" s="427">
        <f t="shared" si="2"/>
        <v>-108071483.40498811</v>
      </c>
      <c r="P23" s="124">
        <f>M23/ITA!B21*1000</f>
        <v>100.07613282089798</v>
      </c>
      <c r="Q23" s="481"/>
      <c r="R23" s="503">
        <f t="shared" si="3"/>
        <v>108071483.40498811</v>
      </c>
      <c r="S23" s="504">
        <f t="shared" si="4"/>
        <v>206095056.91270083</v>
      </c>
      <c r="T23" s="505">
        <f t="shared" si="5"/>
        <v>0</v>
      </c>
      <c r="U23" s="422">
        <f t="shared" si="6"/>
        <v>0.62228137917347803</v>
      </c>
      <c r="V23" s="180">
        <f t="shared" si="9"/>
        <v>125097653.98994404</v>
      </c>
      <c r="W23" s="124">
        <f>V23/ITA!B21*1000</f>
        <v>53.691880392711361</v>
      </c>
    </row>
    <row r="24" spans="1:23" x14ac:dyDescent="0.25">
      <c r="A24" s="125" t="s">
        <v>21</v>
      </c>
      <c r="B24" s="126">
        <v>8259.2199999999993</v>
      </c>
      <c r="C24" s="515">
        <v>9.2500362391662126E-3</v>
      </c>
      <c r="D24" s="190">
        <f>'Total Inst. Cost'!G22</f>
        <v>49882694.83583156</v>
      </c>
      <c r="E24" s="191">
        <f>Facilities!J32</f>
        <v>11686552.268931784</v>
      </c>
      <c r="F24" s="192">
        <f>'District Services'!K31</f>
        <v>2219873.6794466879</v>
      </c>
      <c r="G24" s="491">
        <f t="shared" si="7"/>
        <v>63789120.784210034</v>
      </c>
      <c r="H24" s="134"/>
      <c r="I24" s="190">
        <f>'FY 19 State Pmt'!BL23</f>
        <v>38459639.490000002</v>
      </c>
      <c r="J24" s="191">
        <f>'Prop Tax'!K22</f>
        <v>12386165.844854526</v>
      </c>
      <c r="K24" s="488">
        <f t="shared" si="8"/>
        <v>50845805.334854528</v>
      </c>
      <c r="L24" s="134"/>
      <c r="M24" s="469">
        <f t="shared" si="0"/>
        <v>15156343.473585023</v>
      </c>
      <c r="N24" s="510">
        <f t="shared" si="1"/>
        <v>48632777.310625009</v>
      </c>
      <c r="O24" s="426">
        <f t="shared" si="2"/>
        <v>-2213028.0242295191</v>
      </c>
      <c r="P24" s="134">
        <f>M24/ITA!B22*1000</f>
        <v>100.07613282089798</v>
      </c>
      <c r="Q24" s="480"/>
      <c r="R24" s="500">
        <f t="shared" si="3"/>
        <v>2213028.0242295191</v>
      </c>
      <c r="S24" s="501">
        <f t="shared" si="4"/>
        <v>50845805.334854528</v>
      </c>
      <c r="T24" s="502">
        <f t="shared" si="5"/>
        <v>0</v>
      </c>
      <c r="U24" s="421">
        <f t="shared" si="6"/>
        <v>0.79709211711600492</v>
      </c>
      <c r="V24" s="181">
        <f t="shared" si="9"/>
        <v>12943315.449355505</v>
      </c>
      <c r="W24" s="134">
        <f>V24/ITA!B22*1000</f>
        <v>85.463684450672659</v>
      </c>
    </row>
    <row r="25" spans="1:23" x14ac:dyDescent="0.25">
      <c r="A25" s="123" t="s">
        <v>22</v>
      </c>
      <c r="B25" s="47">
        <v>4970.04</v>
      </c>
      <c r="C25" s="516">
        <v>5.0065901774861855E-3</v>
      </c>
      <c r="D25" s="187">
        <f>'Total Inst. Cost'!G23</f>
        <v>30267058.135236464</v>
      </c>
      <c r="E25" s="188">
        <f>Facilities!J33</f>
        <v>7123112.5585139534</v>
      </c>
      <c r="F25" s="189">
        <f>'District Services'!K32</f>
        <v>1328687.3924386536</v>
      </c>
      <c r="G25" s="492">
        <f t="shared" si="7"/>
        <v>38718858.086189069</v>
      </c>
      <c r="H25" s="124"/>
      <c r="I25" s="187">
        <f>'FY 19 State Pmt'!BL24</f>
        <v>23875292.479999993</v>
      </c>
      <c r="J25" s="188">
        <f>'Prop Tax'!K23</f>
        <v>7437556.2248925511</v>
      </c>
      <c r="K25" s="487">
        <f t="shared" si="8"/>
        <v>31312848.704892546</v>
      </c>
      <c r="L25" s="124"/>
      <c r="M25" s="471">
        <f t="shared" si="0"/>
        <v>8203384.1165034734</v>
      </c>
      <c r="N25" s="511">
        <f t="shared" si="1"/>
        <v>30515473.969685595</v>
      </c>
      <c r="O25" s="427">
        <f t="shared" si="2"/>
        <v>-797374.73520695046</v>
      </c>
      <c r="P25" s="124">
        <f>M25/ITA!B23*1000</f>
        <v>100.07613282089798</v>
      </c>
      <c r="Q25" s="481"/>
      <c r="R25" s="503">
        <f t="shared" si="3"/>
        <v>797374.73520695046</v>
      </c>
      <c r="S25" s="504">
        <f t="shared" si="4"/>
        <v>31312848.704892546</v>
      </c>
      <c r="T25" s="505">
        <f t="shared" si="5"/>
        <v>0</v>
      </c>
      <c r="U25" s="422">
        <f t="shared" si="6"/>
        <v>0.80872345551073388</v>
      </c>
      <c r="V25" s="180">
        <f t="shared" si="9"/>
        <v>7406009.3812965229</v>
      </c>
      <c r="W25" s="124">
        <f>V25/ITA!B23*1000</f>
        <v>90.348661965539392</v>
      </c>
    </row>
    <row r="26" spans="1:23" x14ac:dyDescent="0.25">
      <c r="A26" s="125" t="s">
        <v>23</v>
      </c>
      <c r="B26" s="126">
        <v>6691.02</v>
      </c>
      <c r="C26" s="515">
        <v>5.8511704907844827E-3</v>
      </c>
      <c r="D26" s="190">
        <f>'Total Inst. Cost'!G24</f>
        <v>40588993.905945361</v>
      </c>
      <c r="E26" s="191">
        <f>Facilities!J34</f>
        <v>9395801.5905674361</v>
      </c>
      <c r="F26" s="192">
        <f>'District Services'!K33</f>
        <v>1697133.2733241688</v>
      </c>
      <c r="G26" s="491">
        <f t="shared" si="7"/>
        <v>51681928.76983697</v>
      </c>
      <c r="H26" s="134"/>
      <c r="I26" s="190">
        <f>'FY 19 State Pmt'!BL25</f>
        <v>33318302.999999996</v>
      </c>
      <c r="J26" s="191">
        <f>'Prop Tax'!K24</f>
        <v>8105283.1067110524</v>
      </c>
      <c r="K26" s="488">
        <f t="shared" si="8"/>
        <v>41423586.106711045</v>
      </c>
      <c r="L26" s="134"/>
      <c r="M26" s="469">
        <f t="shared" si="0"/>
        <v>9587243.4861756172</v>
      </c>
      <c r="N26" s="510">
        <f t="shared" si="1"/>
        <v>42094685.283661351</v>
      </c>
      <c r="O26" s="426">
        <f t="shared" si="2"/>
        <v>671099.1769503057</v>
      </c>
      <c r="P26" s="134">
        <f>M26/ITA!B24*1000</f>
        <v>100.07613282089798</v>
      </c>
      <c r="Q26" s="480"/>
      <c r="R26" s="500">
        <f t="shared" si="3"/>
        <v>0</v>
      </c>
      <c r="S26" s="501">
        <f t="shared" si="4"/>
        <v>42094685.283661351</v>
      </c>
      <c r="T26" s="502">
        <f t="shared" si="5"/>
        <v>671099.1769503057</v>
      </c>
      <c r="U26" s="421">
        <f t="shared" si="6"/>
        <v>0.81449524593263622</v>
      </c>
      <c r="V26" s="181">
        <f t="shared" si="9"/>
        <v>9587243.4861756191</v>
      </c>
      <c r="W26" s="134">
        <f>V26/ITA!B24*1000</f>
        <v>100.07613282089801</v>
      </c>
    </row>
    <row r="27" spans="1:23" x14ac:dyDescent="0.25">
      <c r="A27" s="123" t="s">
        <v>24</v>
      </c>
      <c r="B27" s="47">
        <v>710.4</v>
      </c>
      <c r="C27" s="516">
        <v>1.4402268979077219E-3</v>
      </c>
      <c r="D27" s="187">
        <f>'Total Inst. Cost'!G25</f>
        <v>4724198.6730411975</v>
      </c>
      <c r="E27" s="188">
        <f>Facilities!J35</f>
        <v>1091654.177198654</v>
      </c>
      <c r="F27" s="189">
        <f>'District Services'!K34</f>
        <v>1146111.5216626299</v>
      </c>
      <c r="G27" s="490">
        <f t="shared" si="7"/>
        <v>6961964.3719024817</v>
      </c>
      <c r="H27" s="124"/>
      <c r="I27" s="187">
        <f>'FY 19 State Pmt'!BL26</f>
        <v>3464007.09</v>
      </c>
      <c r="J27" s="188">
        <f>'Prop Tax'!K25</f>
        <v>1162856.68868247</v>
      </c>
      <c r="K27" s="487">
        <f t="shared" si="8"/>
        <v>4626863.7786824703</v>
      </c>
      <c r="L27" s="124"/>
      <c r="M27" s="471">
        <f t="shared" si="0"/>
        <v>2359836.5433596298</v>
      </c>
      <c r="N27" s="511">
        <f t="shared" si="1"/>
        <v>4602127.8285428518</v>
      </c>
      <c r="O27" s="427">
        <f t="shared" si="2"/>
        <v>-24735.950139618479</v>
      </c>
      <c r="P27" s="124">
        <f>M27/ITA!B25*1000</f>
        <v>100.076132820898</v>
      </c>
      <c r="Q27" s="481"/>
      <c r="R27" s="503">
        <f t="shared" si="3"/>
        <v>24735.950139618479</v>
      </c>
      <c r="S27" s="504">
        <f t="shared" si="4"/>
        <v>4626863.7786824703</v>
      </c>
      <c r="T27" s="505">
        <f t="shared" si="5"/>
        <v>0</v>
      </c>
      <c r="U27" s="422">
        <f t="shared" si="6"/>
        <v>0.6645917059495231</v>
      </c>
      <c r="V27" s="180">
        <f t="shared" si="9"/>
        <v>2335100.5932200113</v>
      </c>
      <c r="W27" s="124">
        <f>V27/ITA!B25*1000</f>
        <v>99.027128711444178</v>
      </c>
    </row>
    <row r="28" spans="1:23" x14ac:dyDescent="0.25">
      <c r="A28" s="125" t="s">
        <v>25</v>
      </c>
      <c r="B28" s="126">
        <v>2753.54</v>
      </c>
      <c r="C28" s="515">
        <v>2.2624865894419525E-3</v>
      </c>
      <c r="D28" s="190">
        <f>'Total Inst. Cost'!G26</f>
        <v>17790424.619491991</v>
      </c>
      <c r="E28" s="191">
        <f>Facilities!J36</f>
        <v>4134815.9905249733</v>
      </c>
      <c r="F28" s="192">
        <f>'District Services'!K35</f>
        <v>1240091.2506236869</v>
      </c>
      <c r="G28" s="491">
        <f t="shared" si="7"/>
        <v>23165331.860640652</v>
      </c>
      <c r="H28" s="134"/>
      <c r="I28" s="190">
        <f>'FY 19 State Pmt'!BL27</f>
        <v>14242918.110000003</v>
      </c>
      <c r="J28" s="191">
        <f>'Prop Tax'!K26</f>
        <v>2774290.617085218</v>
      </c>
      <c r="K28" s="488">
        <f t="shared" si="8"/>
        <v>17017208.727085222</v>
      </c>
      <c r="L28" s="134"/>
      <c r="M28" s="469">
        <f t="shared" si="0"/>
        <v>3707123.1903685089</v>
      </c>
      <c r="N28" s="510">
        <f t="shared" si="1"/>
        <v>19458208.670272142</v>
      </c>
      <c r="O28" s="426">
        <f t="shared" si="2"/>
        <v>2440999.9431869201</v>
      </c>
      <c r="P28" s="134">
        <f>M28/ITA!B26*1000</f>
        <v>100.07613282089798</v>
      </c>
      <c r="Q28" s="480"/>
      <c r="R28" s="500">
        <f t="shared" si="3"/>
        <v>0</v>
      </c>
      <c r="S28" s="501">
        <f t="shared" si="4"/>
        <v>19458208.670272142</v>
      </c>
      <c r="T28" s="502">
        <f t="shared" si="5"/>
        <v>2440999.9431869201</v>
      </c>
      <c r="U28" s="421">
        <f t="shared" si="6"/>
        <v>0.83997107347004407</v>
      </c>
      <c r="V28" s="181">
        <f t="shared" si="9"/>
        <v>3707123.1903685108</v>
      </c>
      <c r="W28" s="134">
        <f>V28/ITA!B26*1000</f>
        <v>100.07613282089804</v>
      </c>
    </row>
    <row r="29" spans="1:23" x14ac:dyDescent="0.25">
      <c r="A29" s="123" t="s">
        <v>26</v>
      </c>
      <c r="B29" s="47">
        <v>1253.3399999999999</v>
      </c>
      <c r="C29" s="516">
        <v>3.7378938030003861E-4</v>
      </c>
      <c r="D29" s="187">
        <f>'Total Inst. Cost'!G27</f>
        <v>7431779.581042923</v>
      </c>
      <c r="E29" s="188">
        <f>Facilities!J37</f>
        <v>1755086.0454271527</v>
      </c>
      <c r="F29" s="189">
        <f>'District Services'!K36</f>
        <v>1164888.1855043925</v>
      </c>
      <c r="G29" s="492">
        <f t="shared" si="7"/>
        <v>10351753.811974468</v>
      </c>
      <c r="H29" s="124"/>
      <c r="I29" s="187">
        <f>'FY 19 State Pmt'!BL28</f>
        <v>6892444.8499999987</v>
      </c>
      <c r="J29" s="188">
        <f>'Prop Tax'!K27</f>
        <v>1081219.0327931792</v>
      </c>
      <c r="K29" s="487">
        <f t="shared" si="8"/>
        <v>7973663.8827931779</v>
      </c>
      <c r="L29" s="124"/>
      <c r="M29" s="471">
        <f t="shared" si="0"/>
        <v>612460.32860045764</v>
      </c>
      <c r="N29" s="511">
        <f t="shared" si="1"/>
        <v>9739293.4833740108</v>
      </c>
      <c r="O29" s="427">
        <f t="shared" si="2"/>
        <v>1765629.6005808329</v>
      </c>
      <c r="P29" s="124">
        <f>M29/ITA!B27*1000</f>
        <v>100.07613282089797</v>
      </c>
      <c r="Q29" s="481"/>
      <c r="R29" s="503">
        <f t="shared" si="3"/>
        <v>0</v>
      </c>
      <c r="S29" s="504">
        <f t="shared" si="4"/>
        <v>9739293.4833740108</v>
      </c>
      <c r="T29" s="505">
        <f t="shared" si="5"/>
        <v>1765629.6005808329</v>
      </c>
      <c r="U29" s="422">
        <f t="shared" si="6"/>
        <v>0.94083511453952962</v>
      </c>
      <c r="V29" s="180">
        <f t="shared" si="9"/>
        <v>612460.32860045694</v>
      </c>
      <c r="W29" s="124">
        <f>V29/ITA!B27*1000</f>
        <v>100.07613282089787</v>
      </c>
    </row>
    <row r="30" spans="1:23" x14ac:dyDescent="0.25">
      <c r="A30" s="125" t="s">
        <v>27</v>
      </c>
      <c r="B30" s="126">
        <v>5263.6</v>
      </c>
      <c r="C30" s="515">
        <v>8.4444632812399421E-3</v>
      </c>
      <c r="D30" s="190">
        <f>'Total Inst. Cost'!G28</f>
        <v>33538710.132798426</v>
      </c>
      <c r="E30" s="191">
        <f>Facilities!J38</f>
        <v>7750431.9271119833</v>
      </c>
      <c r="F30" s="192">
        <f>'District Services'!K37</f>
        <v>1350300.2392805484</v>
      </c>
      <c r="G30" s="491">
        <f t="shared" si="7"/>
        <v>42639442.299190961</v>
      </c>
      <c r="H30" s="134"/>
      <c r="I30" s="190">
        <f>'FY 19 State Pmt'!BL29</f>
        <v>23191159.999999996</v>
      </c>
      <c r="J30" s="191">
        <f>'Prop Tax'!K28</f>
        <v>6164871.4210511865</v>
      </c>
      <c r="K30" s="488">
        <f t="shared" si="8"/>
        <v>29356031.421051182</v>
      </c>
      <c r="L30" s="134"/>
      <c r="M30" s="469">
        <f t="shared" si="0"/>
        <v>13836398.326595742</v>
      </c>
      <c r="N30" s="510">
        <f t="shared" si="1"/>
        <v>28803043.972595219</v>
      </c>
      <c r="O30" s="426">
        <f t="shared" si="2"/>
        <v>-552987.44845596328</v>
      </c>
      <c r="P30" s="134">
        <f>M30/ITA!B28*1000</f>
        <v>100.07613282089797</v>
      </c>
      <c r="Q30" s="480"/>
      <c r="R30" s="500">
        <f t="shared" si="3"/>
        <v>552987.44845596328</v>
      </c>
      <c r="S30" s="501">
        <f t="shared" si="4"/>
        <v>29356031.421051182</v>
      </c>
      <c r="T30" s="502">
        <f t="shared" si="5"/>
        <v>0</v>
      </c>
      <c r="U30" s="421">
        <f t="shared" si="6"/>
        <v>0.68847128006662939</v>
      </c>
      <c r="V30" s="181">
        <f t="shared" si="9"/>
        <v>13283410.878139779</v>
      </c>
      <c r="W30" s="134">
        <f>V30/ITA!B28*1000</f>
        <v>96.076475971355379</v>
      </c>
    </row>
    <row r="31" spans="1:23" x14ac:dyDescent="0.25">
      <c r="A31" s="123" t="s">
        <v>28</v>
      </c>
      <c r="B31" s="47">
        <v>9606.7099999999991</v>
      </c>
      <c r="C31" s="516">
        <v>1.165546486020297E-2</v>
      </c>
      <c r="D31" s="187">
        <f>'Total Inst. Cost'!G29</f>
        <v>58793603.760916986</v>
      </c>
      <c r="E31" s="188">
        <f>Facilities!J39</f>
        <v>13804726.498666165</v>
      </c>
      <c r="F31" s="189">
        <f>'District Services'!K38</f>
        <v>2588282.2874667956</v>
      </c>
      <c r="G31" s="490">
        <f t="shared" si="7"/>
        <v>75186612.54704994</v>
      </c>
      <c r="H31" s="124"/>
      <c r="I31" s="187">
        <f>'FY 19 State Pmt'!BL30</f>
        <v>44339857.70000001</v>
      </c>
      <c r="J31" s="188">
        <f>'Prop Tax'!K29</f>
        <v>13441311.993382974</v>
      </c>
      <c r="K31" s="487">
        <f t="shared" si="8"/>
        <v>57781169.693382986</v>
      </c>
      <c r="L31" s="124"/>
      <c r="M31" s="471">
        <f t="shared" si="0"/>
        <v>19097679.641248655</v>
      </c>
      <c r="N31" s="511">
        <f t="shared" si="1"/>
        <v>56088932.905801281</v>
      </c>
      <c r="O31" s="427">
        <f t="shared" si="2"/>
        <v>-1692236.7875817046</v>
      </c>
      <c r="P31" s="124">
        <f>M31/ITA!B29*1000</f>
        <v>100.07613282089798</v>
      </c>
      <c r="Q31" s="481"/>
      <c r="R31" s="503">
        <f t="shared" si="3"/>
        <v>1692236.7875817046</v>
      </c>
      <c r="S31" s="504">
        <f t="shared" si="4"/>
        <v>57781169.693382986</v>
      </c>
      <c r="T31" s="505">
        <f t="shared" si="5"/>
        <v>0</v>
      </c>
      <c r="U31" s="422">
        <f t="shared" si="6"/>
        <v>0.7685034308099058</v>
      </c>
      <c r="V31" s="180">
        <f t="shared" si="9"/>
        <v>17405442.853666954</v>
      </c>
      <c r="W31" s="124">
        <f>V31/ITA!B29*1000</f>
        <v>91.20843178602172</v>
      </c>
    </row>
    <row r="32" spans="1:23" x14ac:dyDescent="0.25">
      <c r="A32" s="125" t="s">
        <v>29</v>
      </c>
      <c r="B32" s="126">
        <v>1528.03</v>
      </c>
      <c r="C32" s="515">
        <v>8.427903221858861E-4</v>
      </c>
      <c r="D32" s="190">
        <f>'Total Inst. Cost'!G30</f>
        <v>9145971.510493394</v>
      </c>
      <c r="E32" s="191">
        <f>Facilities!J40</f>
        <v>2147010.047337078</v>
      </c>
      <c r="F32" s="192">
        <f>'District Services'!K39</f>
        <v>1176788.841172002</v>
      </c>
      <c r="G32" s="491">
        <f t="shared" si="7"/>
        <v>12469770.399002474</v>
      </c>
      <c r="H32" s="134"/>
      <c r="I32" s="190">
        <f>'FY 19 State Pmt'!BL31</f>
        <v>8163949.9400000004</v>
      </c>
      <c r="J32" s="191">
        <f>'Prop Tax'!K30</f>
        <v>1235766.9125217153</v>
      </c>
      <c r="K32" s="488">
        <f t="shared" si="8"/>
        <v>9399716.8525217157</v>
      </c>
      <c r="L32" s="134"/>
      <c r="M32" s="469">
        <f t="shared" si="0"/>
        <v>1380926.4384475613</v>
      </c>
      <c r="N32" s="510">
        <f t="shared" si="1"/>
        <v>11088843.960554913</v>
      </c>
      <c r="O32" s="426">
        <f t="shared" si="2"/>
        <v>1689127.108033197</v>
      </c>
      <c r="P32" s="134">
        <f>M32/ITA!B30*1000</f>
        <v>100.07613282089797</v>
      </c>
      <c r="Q32" s="480"/>
      <c r="R32" s="500">
        <f t="shared" si="3"/>
        <v>0</v>
      </c>
      <c r="S32" s="501">
        <f t="shared" si="4"/>
        <v>11088843.960554913</v>
      </c>
      <c r="T32" s="502">
        <f t="shared" si="5"/>
        <v>1689127.108033197</v>
      </c>
      <c r="U32" s="421">
        <f t="shared" si="6"/>
        <v>0.8892580701760131</v>
      </c>
      <c r="V32" s="181">
        <f t="shared" si="9"/>
        <v>1380926.4384475611</v>
      </c>
      <c r="W32" s="134">
        <f>V32/ITA!B30*1000</f>
        <v>100.07613282089795</v>
      </c>
    </row>
    <row r="33" spans="1:23" x14ac:dyDescent="0.25">
      <c r="A33" s="123" t="s">
        <v>30</v>
      </c>
      <c r="B33" s="47">
        <v>3982.19</v>
      </c>
      <c r="C33" s="516">
        <v>2.530398853578311E-3</v>
      </c>
      <c r="D33" s="187">
        <f>'Total Inst. Cost'!G31</f>
        <v>23718473.483735744</v>
      </c>
      <c r="E33" s="188">
        <f>Facilities!J41</f>
        <v>5629448.5251050377</v>
      </c>
      <c r="F33" s="189">
        <f>'District Services'!K40</f>
        <v>1282296.7979726929</v>
      </c>
      <c r="G33" s="492">
        <f t="shared" si="7"/>
        <v>30630218.806813475</v>
      </c>
      <c r="H33" s="124"/>
      <c r="I33" s="187">
        <f>'FY 19 State Pmt'!BL32</f>
        <v>19960960.789999995</v>
      </c>
      <c r="J33" s="188">
        <f>'Prop Tax'!K31</f>
        <v>3791746.6808839766</v>
      </c>
      <c r="K33" s="487">
        <f t="shared" si="8"/>
        <v>23752707.470883973</v>
      </c>
      <c r="L33" s="124"/>
      <c r="M33" s="471">
        <f t="shared" si="0"/>
        <v>4146102.0431046039</v>
      </c>
      <c r="N33" s="511">
        <f t="shared" si="1"/>
        <v>26484116.763708871</v>
      </c>
      <c r="O33" s="427">
        <f t="shared" si="2"/>
        <v>2731409.2928248979</v>
      </c>
      <c r="P33" s="124">
        <f>M33/ITA!B31*1000</f>
        <v>100.07613282089798</v>
      </c>
      <c r="Q33" s="481"/>
      <c r="R33" s="503">
        <f t="shared" si="3"/>
        <v>0</v>
      </c>
      <c r="S33" s="504">
        <f t="shared" si="4"/>
        <v>26484116.763708871</v>
      </c>
      <c r="T33" s="505">
        <f t="shared" si="5"/>
        <v>2731409.2928248979</v>
      </c>
      <c r="U33" s="422">
        <f t="shared" si="6"/>
        <v>0.86464014281927581</v>
      </c>
      <c r="V33" s="180">
        <f t="shared" si="9"/>
        <v>4146102.0431046039</v>
      </c>
      <c r="W33" s="124">
        <f>V33/ITA!B31*1000</f>
        <v>100.07613282089798</v>
      </c>
    </row>
    <row r="34" spans="1:23" x14ac:dyDescent="0.25">
      <c r="A34" s="125" t="s">
        <v>31</v>
      </c>
      <c r="B34" s="126">
        <v>25440.37</v>
      </c>
      <c r="C34" s="515">
        <v>1.6617471145703472E-2</v>
      </c>
      <c r="D34" s="190">
        <f>'Total Inst. Cost'!G32</f>
        <v>145638287.39121538</v>
      </c>
      <c r="E34" s="191">
        <f>Facilities!J42</f>
        <v>34412490.034997895</v>
      </c>
      <c r="F34" s="192">
        <f>'District Services'!K41</f>
        <v>4245528.1982150944</v>
      </c>
      <c r="G34" s="491">
        <f t="shared" si="7"/>
        <v>184296305.62442836</v>
      </c>
      <c r="H34" s="134"/>
      <c r="I34" s="190">
        <f>'FY 19 State Pmt'!BL33</f>
        <v>117212002.76000001</v>
      </c>
      <c r="J34" s="191">
        <f>'Prop Tax'!K32</f>
        <v>36629400.907962725</v>
      </c>
      <c r="K34" s="488">
        <f t="shared" si="8"/>
        <v>153841403.66796273</v>
      </c>
      <c r="L34" s="134"/>
      <c r="M34" s="469">
        <f t="shared" si="0"/>
        <v>27228012.28391432</v>
      </c>
      <c r="N34" s="510">
        <f t="shared" si="1"/>
        <v>157068293.34051403</v>
      </c>
      <c r="O34" s="426">
        <f t="shared" si="2"/>
        <v>3226889.6725513041</v>
      </c>
      <c r="P34" s="134">
        <f>M34/ITA!B32*1000</f>
        <v>100.07613282089798</v>
      </c>
      <c r="Q34" s="480"/>
      <c r="R34" s="500">
        <f t="shared" si="3"/>
        <v>0</v>
      </c>
      <c r="S34" s="501">
        <f t="shared" si="4"/>
        <v>157068293.34051403</v>
      </c>
      <c r="T34" s="502">
        <f t="shared" si="5"/>
        <v>3226889.6725513041</v>
      </c>
      <c r="U34" s="421">
        <f t="shared" si="6"/>
        <v>0.85225958712703964</v>
      </c>
      <c r="V34" s="181">
        <f t="shared" si="9"/>
        <v>27228012.283914328</v>
      </c>
      <c r="W34" s="134">
        <f>V34/ITA!B32*1000</f>
        <v>100.07613282089801</v>
      </c>
    </row>
    <row r="35" spans="1:23" x14ac:dyDescent="0.25">
      <c r="A35" s="123" t="s">
        <v>32</v>
      </c>
      <c r="B35" s="47">
        <v>2145.29</v>
      </c>
      <c r="C35" s="516">
        <v>3.0939804900830281E-3</v>
      </c>
      <c r="D35" s="187">
        <f>'Total Inst. Cost'!G33</f>
        <v>13609514.380308764</v>
      </c>
      <c r="E35" s="188">
        <f>Facilities!J43</f>
        <v>3172807.4822966708</v>
      </c>
      <c r="F35" s="189">
        <f>'District Services'!K42</f>
        <v>1209721.7870783105</v>
      </c>
      <c r="G35" s="490">
        <f t="shared" si="7"/>
        <v>17992043.649683744</v>
      </c>
      <c r="H35" s="124"/>
      <c r="I35" s="187">
        <f>'FY 19 State Pmt'!BL34</f>
        <v>9958914.410000002</v>
      </c>
      <c r="J35" s="188">
        <f>'Prop Tax'!K33</f>
        <v>4627985.1562803006</v>
      </c>
      <c r="K35" s="487">
        <f t="shared" si="8"/>
        <v>14586899.566280302</v>
      </c>
      <c r="L35" s="124"/>
      <c r="M35" s="471">
        <f t="shared" si="0"/>
        <v>5069540.2478224467</v>
      </c>
      <c r="N35" s="511">
        <f t="shared" si="1"/>
        <v>12922503.401861297</v>
      </c>
      <c r="O35" s="427">
        <f t="shared" si="2"/>
        <v>-1664396.1644190047</v>
      </c>
      <c r="P35" s="124">
        <f>M35/ITA!B33*1000</f>
        <v>100.07613282089798</v>
      </c>
      <c r="Q35" s="481"/>
      <c r="R35" s="503">
        <f t="shared" si="3"/>
        <v>1664396.1644190047</v>
      </c>
      <c r="S35" s="504">
        <f t="shared" si="4"/>
        <v>14586899.566280302</v>
      </c>
      <c r="T35" s="505">
        <f t="shared" si="5"/>
        <v>0</v>
      </c>
      <c r="U35" s="422">
        <f t="shared" si="6"/>
        <v>0.81074167283585397</v>
      </c>
      <c r="V35" s="180">
        <f t="shared" si="9"/>
        <v>3405144.0834034421</v>
      </c>
      <c r="W35" s="124">
        <f>V35/ITA!B33*1000</f>
        <v>67.219833536453834</v>
      </c>
    </row>
    <row r="36" spans="1:23" x14ac:dyDescent="0.25">
      <c r="A36" s="125" t="s">
        <v>33</v>
      </c>
      <c r="B36" s="126">
        <v>3224.83</v>
      </c>
      <c r="C36" s="515">
        <v>3.0574571466720265E-3</v>
      </c>
      <c r="D36" s="190">
        <f>'Total Inst. Cost'!G34</f>
        <v>19085569.61418277</v>
      </c>
      <c r="E36" s="191">
        <f>Facilities!J44</f>
        <v>4478473.3312766002</v>
      </c>
      <c r="F36" s="192">
        <f>'District Services'!K43</f>
        <v>1246481.9607540763</v>
      </c>
      <c r="G36" s="491">
        <f t="shared" si="7"/>
        <v>24810524.906213447</v>
      </c>
      <c r="H36" s="134"/>
      <c r="I36" s="190">
        <f>'FY 19 State Pmt'!BL35</f>
        <v>15323261.660000004</v>
      </c>
      <c r="J36" s="191">
        <f>'Prop Tax'!K34</f>
        <v>5884286.4031790094</v>
      </c>
      <c r="K36" s="488">
        <f t="shared" si="8"/>
        <v>21207548.063179012</v>
      </c>
      <c r="L36" s="134"/>
      <c r="M36" s="469">
        <f t="shared" si="0"/>
        <v>5009696.1214614091</v>
      </c>
      <c r="N36" s="510">
        <f t="shared" si="1"/>
        <v>19800828.784752037</v>
      </c>
      <c r="O36" s="426">
        <f t="shared" si="2"/>
        <v>-1406719.278426975</v>
      </c>
      <c r="P36" s="134">
        <f>M36/ITA!B34*1000</f>
        <v>100.07613282089798</v>
      </c>
      <c r="Q36" s="480"/>
      <c r="R36" s="500">
        <f t="shared" si="3"/>
        <v>1406719.278426975</v>
      </c>
      <c r="S36" s="501">
        <f t="shared" si="4"/>
        <v>21207548.063179012</v>
      </c>
      <c r="T36" s="502">
        <f t="shared" si="5"/>
        <v>0</v>
      </c>
      <c r="U36" s="421">
        <f t="shared" si="6"/>
        <v>0.85478030567051322</v>
      </c>
      <c r="V36" s="181">
        <f t="shared" si="9"/>
        <v>3602976.8430344351</v>
      </c>
      <c r="W36" s="134">
        <f>V36/ITA!B34*1000</f>
        <v>71.974822494612539</v>
      </c>
    </row>
    <row r="37" spans="1:23" x14ac:dyDescent="0.25">
      <c r="A37" s="123" t="s">
        <v>34</v>
      </c>
      <c r="B37" s="47">
        <v>2373.3200000000002</v>
      </c>
      <c r="C37" s="516">
        <v>7.4956189631598833E-3</v>
      </c>
      <c r="D37" s="187">
        <f>'Total Inst. Cost'!G35</f>
        <v>15116588.429283798</v>
      </c>
      <c r="E37" s="188">
        <f>Facilities!J45</f>
        <v>3509966.456015307</v>
      </c>
      <c r="F37" s="189">
        <f>'District Services'!K44</f>
        <v>1220104.7832732918</v>
      </c>
      <c r="G37" s="492">
        <f t="shared" si="7"/>
        <v>19846659.668572396</v>
      </c>
      <c r="H37" s="124"/>
      <c r="I37" s="187">
        <f>'FY 19 State Pmt'!BL36</f>
        <v>8286479.2600000016</v>
      </c>
      <c r="J37" s="188">
        <f>'Prop Tax'!K35</f>
        <v>5274004.4155953424</v>
      </c>
      <c r="K37" s="487">
        <f t="shared" si="8"/>
        <v>13560483.675595343</v>
      </c>
      <c r="L37" s="124"/>
      <c r="M37" s="471">
        <f t="shared" si="0"/>
        <v>12281700.591803169</v>
      </c>
      <c r="N37" s="511">
        <f t="shared" si="1"/>
        <v>7564959.0767692272</v>
      </c>
      <c r="O37" s="427">
        <f t="shared" si="2"/>
        <v>-5995524.598826116</v>
      </c>
      <c r="P37" s="124">
        <f>M37/ITA!B35*1000</f>
        <v>100.07613282089797</v>
      </c>
      <c r="Q37" s="481"/>
      <c r="R37" s="503">
        <f t="shared" si="3"/>
        <v>5995524.598826116</v>
      </c>
      <c r="S37" s="504">
        <f t="shared" si="4"/>
        <v>13560483.675595343</v>
      </c>
      <c r="T37" s="505">
        <f t="shared" si="5"/>
        <v>0</v>
      </c>
      <c r="U37" s="422">
        <f t="shared" si="6"/>
        <v>0.68326277076583597</v>
      </c>
      <c r="V37" s="180">
        <f t="shared" si="9"/>
        <v>6286175.9929770529</v>
      </c>
      <c r="W37" s="124">
        <f>V37/ITA!B35*1000</f>
        <v>51.22223741788428</v>
      </c>
    </row>
    <row r="38" spans="1:23" x14ac:dyDescent="0.25">
      <c r="A38" s="125" t="s">
        <v>35</v>
      </c>
      <c r="B38" s="126">
        <v>15667.43</v>
      </c>
      <c r="C38" s="515">
        <v>1.7605354884714434E-2</v>
      </c>
      <c r="D38" s="190">
        <f>'Total Inst. Cost'!G36</f>
        <v>95241841.180101097</v>
      </c>
      <c r="E38" s="191">
        <f>Facilities!J46</f>
        <v>22313111.417470753</v>
      </c>
      <c r="F38" s="192">
        <f>'District Services'!K45</f>
        <v>3900824.2210878227</v>
      </c>
      <c r="G38" s="491">
        <f t="shared" si="7"/>
        <v>121455776.81865968</v>
      </c>
      <c r="H38" s="134"/>
      <c r="I38" s="190">
        <f>'FY 19 State Pmt'!BL37</f>
        <v>71554098.519999996</v>
      </c>
      <c r="J38" s="191">
        <f>'Prop Tax'!K36</f>
        <v>24650523.897592634</v>
      </c>
      <c r="K38" s="488">
        <f t="shared" si="8"/>
        <v>96204622.41759263</v>
      </c>
      <c r="L38" s="134"/>
      <c r="M38" s="469">
        <f t="shared" si="0"/>
        <v>28846676.781359486</v>
      </c>
      <c r="N38" s="510">
        <f t="shared" si="1"/>
        <v>92609100.037300199</v>
      </c>
      <c r="O38" s="426">
        <f t="shared" si="2"/>
        <v>-3595522.3802924305</v>
      </c>
      <c r="P38" s="134">
        <f>M38/ITA!B36*1000</f>
        <v>100.07613282089798</v>
      </c>
      <c r="Q38" s="480"/>
      <c r="R38" s="500">
        <f t="shared" si="3"/>
        <v>3595522.3802924305</v>
      </c>
      <c r="S38" s="501">
        <f t="shared" si="4"/>
        <v>96204622.41759263</v>
      </c>
      <c r="T38" s="502">
        <f t="shared" si="5"/>
        <v>0</v>
      </c>
      <c r="U38" s="421">
        <f t="shared" si="6"/>
        <v>0.79209589644493861</v>
      </c>
      <c r="V38" s="181">
        <f t="shared" si="9"/>
        <v>25251154.401067048</v>
      </c>
      <c r="W38" s="134">
        <f>V38/ITA!B36*1000</f>
        <v>87.602391806710386</v>
      </c>
    </row>
    <row r="39" spans="1:23" x14ac:dyDescent="0.25">
      <c r="A39" s="123" t="s">
        <v>36</v>
      </c>
      <c r="B39" s="47">
        <v>1091.3900000000001</v>
      </c>
      <c r="C39" s="516">
        <v>6.1616677105047447E-4</v>
      </c>
      <c r="D39" s="187">
        <f>'Total Inst. Cost'!G37</f>
        <v>6901363.2523968043</v>
      </c>
      <c r="E39" s="188">
        <f>Facilities!J47</f>
        <v>1586335.4984243049</v>
      </c>
      <c r="F39" s="189">
        <f>'District Services'!K46</f>
        <v>1160530.7137354382</v>
      </c>
      <c r="G39" s="490">
        <f t="shared" si="7"/>
        <v>9648229.4645565487</v>
      </c>
      <c r="H39" s="124"/>
      <c r="I39" s="187">
        <f>'FY 19 State Pmt'!BL38</f>
        <v>6152286.5500000007</v>
      </c>
      <c r="J39" s="188">
        <f>'Prop Tax'!K37</f>
        <v>1236738.5013549556</v>
      </c>
      <c r="K39" s="487">
        <f t="shared" si="8"/>
        <v>7389025.0513549559</v>
      </c>
      <c r="L39" s="124"/>
      <c r="M39" s="471">
        <f t="shared" ref="M39:M70" si="10">C39*($G$88*$M$6)</f>
        <v>1009599.852107456</v>
      </c>
      <c r="N39" s="511">
        <f t="shared" ref="N39:N70" si="11">G39-M39</f>
        <v>8638629.6124490928</v>
      </c>
      <c r="O39" s="427">
        <f t="shared" ref="O39:O70" si="12">N39-K39</f>
        <v>1249604.5610941369</v>
      </c>
      <c r="P39" s="124">
        <f>M39/ITA!B37*1000</f>
        <v>100.07613282089798</v>
      </c>
      <c r="Q39" s="481"/>
      <c r="R39" s="503">
        <f t="shared" ref="R39:R70" si="13">IF(O39&lt;0,K39-N39,0)</f>
        <v>0</v>
      </c>
      <c r="S39" s="504">
        <f t="shared" ref="S39:S70" si="14">R39+N39</f>
        <v>8638629.6124490928</v>
      </c>
      <c r="T39" s="505">
        <f t="shared" ref="T39:T70" si="15">S39-K39</f>
        <v>1249604.5610941369</v>
      </c>
      <c r="U39" s="422">
        <f t="shared" ref="U39:U70" si="16">S39/G39</f>
        <v>0.8953590546518102</v>
      </c>
      <c r="V39" s="180">
        <f t="shared" ref="V39:V70" si="17">G39-S39</f>
        <v>1009599.852107456</v>
      </c>
      <c r="W39" s="124">
        <f>V39/ITA!B37*1000</f>
        <v>100.07613282089798</v>
      </c>
    </row>
    <row r="40" spans="1:23" x14ac:dyDescent="0.25">
      <c r="A40" s="125" t="s">
        <v>37</v>
      </c>
      <c r="B40" s="126">
        <v>3269.06</v>
      </c>
      <c r="C40" s="515">
        <v>2.5489814251816044E-3</v>
      </c>
      <c r="D40" s="190">
        <f>'Total Inst. Cost'!G38</f>
        <v>21487426.541385647</v>
      </c>
      <c r="E40" s="191">
        <f>Facilities!J48</f>
        <v>4940404.497127967</v>
      </c>
      <c r="F40" s="192">
        <f>'District Services'!K47</f>
        <v>1265414.4321673247</v>
      </c>
      <c r="G40" s="491">
        <f t="shared" si="7"/>
        <v>27693245.470680941</v>
      </c>
      <c r="H40" s="134"/>
      <c r="I40" s="190">
        <f>'FY 19 State Pmt'!BL39</f>
        <v>17287554.440000001</v>
      </c>
      <c r="J40" s="191">
        <f>'Prop Tax'!K38</f>
        <v>4641495.6863175193</v>
      </c>
      <c r="K40" s="488">
        <f t="shared" si="8"/>
        <v>21929050.12631752</v>
      </c>
      <c r="L40" s="134"/>
      <c r="M40" s="469">
        <f t="shared" si="10"/>
        <v>4176549.9062869633</v>
      </c>
      <c r="N40" s="510">
        <f t="shared" si="11"/>
        <v>23516695.564393979</v>
      </c>
      <c r="O40" s="426">
        <f t="shared" si="12"/>
        <v>1587645.4380764589</v>
      </c>
      <c r="P40" s="134">
        <f>M40/ITA!B38*1000</f>
        <v>100.07613282089797</v>
      </c>
      <c r="Q40" s="480"/>
      <c r="R40" s="500">
        <f t="shared" si="13"/>
        <v>0</v>
      </c>
      <c r="S40" s="501">
        <f t="shared" si="14"/>
        <v>23516695.564393979</v>
      </c>
      <c r="T40" s="502">
        <f t="shared" si="15"/>
        <v>1587645.4380764589</v>
      </c>
      <c r="U40" s="421">
        <f t="shared" si="16"/>
        <v>0.84918524949671537</v>
      </c>
      <c r="V40" s="181">
        <f t="shared" si="17"/>
        <v>4176549.9062869623</v>
      </c>
      <c r="W40" s="134">
        <f>V40/ITA!B38*1000</f>
        <v>100.07613282089795</v>
      </c>
    </row>
    <row r="41" spans="1:23" x14ac:dyDescent="0.25">
      <c r="A41" s="123" t="s">
        <v>38</v>
      </c>
      <c r="B41" s="47">
        <v>656.05</v>
      </c>
      <c r="C41" s="516">
        <v>1.2588740524905177E-3</v>
      </c>
      <c r="D41" s="187">
        <f>'Total Inst. Cost'!G39</f>
        <v>4359259.7650853181</v>
      </c>
      <c r="E41" s="188">
        <f>Facilities!J49</f>
        <v>1006650.3457845399</v>
      </c>
      <c r="F41" s="189">
        <f>'District Services'!K48</f>
        <v>1143438.6625571724</v>
      </c>
      <c r="G41" s="492">
        <f t="shared" si="7"/>
        <v>6509348.773427031</v>
      </c>
      <c r="H41" s="124"/>
      <c r="I41" s="187">
        <f>'FY 19 State Pmt'!BL40</f>
        <v>3063475.7100000009</v>
      </c>
      <c r="J41" s="188">
        <f>'Prop Tax'!K39</f>
        <v>963938.42359478248</v>
      </c>
      <c r="K41" s="487">
        <f t="shared" si="8"/>
        <v>4027414.1335947835</v>
      </c>
      <c r="L41" s="124"/>
      <c r="M41" s="471">
        <f t="shared" si="10"/>
        <v>2062686.7869709048</v>
      </c>
      <c r="N41" s="511">
        <f t="shared" si="11"/>
        <v>4446661.986456126</v>
      </c>
      <c r="O41" s="427">
        <f t="shared" si="12"/>
        <v>419247.85286134249</v>
      </c>
      <c r="P41" s="124">
        <f>M41/ITA!B39*1000</f>
        <v>100.07613282089798</v>
      </c>
      <c r="Q41" s="481"/>
      <c r="R41" s="503">
        <f t="shared" si="13"/>
        <v>0</v>
      </c>
      <c r="S41" s="504">
        <f t="shared" si="14"/>
        <v>4446661.986456126</v>
      </c>
      <c r="T41" s="505">
        <f t="shared" si="15"/>
        <v>419247.85286134249</v>
      </c>
      <c r="U41" s="422">
        <f t="shared" si="16"/>
        <v>0.68311933209181153</v>
      </c>
      <c r="V41" s="180">
        <f t="shared" si="17"/>
        <v>2062686.786970905</v>
      </c>
      <c r="W41" s="124">
        <f>V41/ITA!B39*1000</f>
        <v>100.076132820898</v>
      </c>
    </row>
    <row r="42" spans="1:23" x14ac:dyDescent="0.25">
      <c r="A42" s="125" t="s">
        <v>39</v>
      </c>
      <c r="B42" s="126">
        <v>1181.8699999999999</v>
      </c>
      <c r="C42" s="515">
        <v>5.7020509834640335E-4</v>
      </c>
      <c r="D42" s="190">
        <f>'Total Inst. Cost'!G40</f>
        <v>7511964.4734300347</v>
      </c>
      <c r="E42" s="191">
        <f>Facilities!J50</f>
        <v>1745780.9869534641</v>
      </c>
      <c r="F42" s="192">
        <f>'District Services'!K49</f>
        <v>1165745.5718244168</v>
      </c>
      <c r="G42" s="491">
        <f t="shared" si="7"/>
        <v>10423491.032207916</v>
      </c>
      <c r="H42" s="134"/>
      <c r="I42" s="190">
        <f>'FY 19 State Pmt'!BL41</f>
        <v>6516311.75</v>
      </c>
      <c r="J42" s="191">
        <f>'Prop Tax'!K40</f>
        <v>1315242.0961248472</v>
      </c>
      <c r="K42" s="488">
        <f t="shared" si="8"/>
        <v>7831553.8461248474</v>
      </c>
      <c r="L42" s="134"/>
      <c r="M42" s="469">
        <f t="shared" si="10"/>
        <v>934290.86086547235</v>
      </c>
      <c r="N42" s="510">
        <f t="shared" si="11"/>
        <v>9489200.1713424437</v>
      </c>
      <c r="O42" s="426">
        <f t="shared" si="12"/>
        <v>1657646.3252175963</v>
      </c>
      <c r="P42" s="134">
        <f>M42/ITA!B40*1000</f>
        <v>100.076132820898</v>
      </c>
      <c r="Q42" s="480"/>
      <c r="R42" s="500">
        <f t="shared" si="13"/>
        <v>0</v>
      </c>
      <c r="S42" s="501">
        <f t="shared" si="14"/>
        <v>9489200.1713424437</v>
      </c>
      <c r="T42" s="502">
        <f t="shared" si="15"/>
        <v>1657646.3252175963</v>
      </c>
      <c r="U42" s="421">
        <f t="shared" si="16"/>
        <v>0.91036679957045352</v>
      </c>
      <c r="V42" s="181">
        <f t="shared" si="17"/>
        <v>934290.86086547188</v>
      </c>
      <c r="W42" s="134">
        <f>V42/ITA!B40*1000</f>
        <v>100.07613282089794</v>
      </c>
    </row>
    <row r="43" spans="1:23" x14ac:dyDescent="0.25">
      <c r="A43" s="123" t="s">
        <v>40</v>
      </c>
      <c r="B43" s="47">
        <v>8929.7900000000009</v>
      </c>
      <c r="C43" s="516">
        <v>2.514733014072297E-2</v>
      </c>
      <c r="D43" s="187">
        <f>'Total Inst. Cost'!G41</f>
        <v>54389047.963759944</v>
      </c>
      <c r="E43" s="188">
        <f>Facilities!J51</f>
        <v>12735430.750214107</v>
      </c>
      <c r="F43" s="189">
        <f>'District Services'!K50</f>
        <v>2403698.1471939194</v>
      </c>
      <c r="G43" s="490">
        <f t="shared" si="7"/>
        <v>69528176.861167982</v>
      </c>
      <c r="H43" s="124"/>
      <c r="I43" s="187">
        <f>'FY 19 State Pmt'!BL42</f>
        <v>25547812.140000001</v>
      </c>
      <c r="J43" s="188">
        <f>'Prop Tax'!K41</f>
        <v>18178133.85067866</v>
      </c>
      <c r="K43" s="487">
        <f t="shared" si="8"/>
        <v>43725945.990678661</v>
      </c>
      <c r="L43" s="124"/>
      <c r="M43" s="471">
        <f t="shared" si="10"/>
        <v>41204332.956298791</v>
      </c>
      <c r="N43" s="511">
        <f t="shared" si="11"/>
        <v>28323843.904869191</v>
      </c>
      <c r="O43" s="427">
        <f t="shared" si="12"/>
        <v>-15402102.085809469</v>
      </c>
      <c r="P43" s="124">
        <f>M43/ITA!B41*1000</f>
        <v>100.07613282089797</v>
      </c>
      <c r="Q43" s="481"/>
      <c r="R43" s="503">
        <f t="shared" si="13"/>
        <v>15402102.085809469</v>
      </c>
      <c r="S43" s="504">
        <f t="shared" si="14"/>
        <v>43725945.990678661</v>
      </c>
      <c r="T43" s="505">
        <f t="shared" si="15"/>
        <v>0</v>
      </c>
      <c r="U43" s="422">
        <f t="shared" si="16"/>
        <v>0.62889533372907891</v>
      </c>
      <c r="V43" s="180">
        <f t="shared" si="17"/>
        <v>25802230.870489322</v>
      </c>
      <c r="W43" s="124">
        <f>V43/ITA!B41*1000</f>
        <v>62.667862780577579</v>
      </c>
    </row>
    <row r="44" spans="1:23" x14ac:dyDescent="0.25">
      <c r="A44" s="125" t="s">
        <v>41</v>
      </c>
      <c r="B44" s="126">
        <v>74161.66</v>
      </c>
      <c r="C44" s="515">
        <v>9.057358888882347E-2</v>
      </c>
      <c r="D44" s="190">
        <f>'Total Inst. Cost'!G42</f>
        <v>439248598.18830931</v>
      </c>
      <c r="E44" s="191">
        <f>Facilities!J52</f>
        <v>102976071.05592912</v>
      </c>
      <c r="F44" s="192">
        <f>'District Services'!K51</f>
        <v>6315738.6643595546</v>
      </c>
      <c r="G44" s="491">
        <f t="shared" si="7"/>
        <v>548540407.90859795</v>
      </c>
      <c r="H44" s="134"/>
      <c r="I44" s="190">
        <f>'FY 19 State Pmt'!BL43</f>
        <v>312192347.17000008</v>
      </c>
      <c r="J44" s="191">
        <f>'Prop Tax'!K42</f>
        <v>107192735.60479175</v>
      </c>
      <c r="K44" s="488">
        <f t="shared" si="8"/>
        <v>419385082.77479184</v>
      </c>
      <c r="L44" s="134"/>
      <c r="M44" s="469">
        <f t="shared" si="10"/>
        <v>148406383.21196803</v>
      </c>
      <c r="N44" s="510">
        <f t="shared" si="11"/>
        <v>400134024.69662988</v>
      </c>
      <c r="O44" s="426">
        <f t="shared" si="12"/>
        <v>-19251058.078161955</v>
      </c>
      <c r="P44" s="134">
        <f>M44/ITA!B42*1000</f>
        <v>100.07613282089798</v>
      </c>
      <c r="Q44" s="480"/>
      <c r="R44" s="500">
        <f t="shared" si="13"/>
        <v>19251058.078161955</v>
      </c>
      <c r="S44" s="501">
        <f t="shared" si="14"/>
        <v>419385082.77479184</v>
      </c>
      <c r="T44" s="502">
        <f t="shared" si="15"/>
        <v>0</v>
      </c>
      <c r="U44" s="421">
        <f t="shared" si="16"/>
        <v>0.7645472908254245</v>
      </c>
      <c r="V44" s="181">
        <f t="shared" si="17"/>
        <v>129155325.13380611</v>
      </c>
      <c r="W44" s="134">
        <f>V44/ITA!B42*1000</f>
        <v>87.094403844852238</v>
      </c>
    </row>
    <row r="45" spans="1:23" x14ac:dyDescent="0.25">
      <c r="A45" s="123" t="s">
        <v>42</v>
      </c>
      <c r="B45" s="47">
        <v>8515.0300000000007</v>
      </c>
      <c r="C45" s="516">
        <v>8.4135443867481355E-3</v>
      </c>
      <c r="D45" s="187">
        <f>'Total Inst. Cost'!G43</f>
        <v>50989546.371860631</v>
      </c>
      <c r="E45" s="188">
        <f>Facilities!J53</f>
        <v>11945026.852032728</v>
      </c>
      <c r="F45" s="189">
        <f>'District Services'!K52</f>
        <v>2226411.9481925732</v>
      </c>
      <c r="G45" s="492">
        <f t="shared" si="7"/>
        <v>65160985.172085933</v>
      </c>
      <c r="H45" s="124"/>
      <c r="I45" s="187">
        <f>'FY 19 State Pmt'!BL44</f>
        <v>38811652.43</v>
      </c>
      <c r="J45" s="188">
        <f>'Prop Tax'!K43</f>
        <v>14050315.503341394</v>
      </c>
      <c r="K45" s="487">
        <f t="shared" si="8"/>
        <v>52861967.933341391</v>
      </c>
      <c r="L45" s="124"/>
      <c r="M45" s="471">
        <f t="shared" si="10"/>
        <v>13785737.186182352</v>
      </c>
      <c r="N45" s="511">
        <f t="shared" si="11"/>
        <v>51375247.985903583</v>
      </c>
      <c r="O45" s="427">
        <f t="shared" si="12"/>
        <v>-1486719.9474378079</v>
      </c>
      <c r="P45" s="124">
        <f>M45/ITA!B43*1000</f>
        <v>100.07613282089798</v>
      </c>
      <c r="Q45" s="481"/>
      <c r="R45" s="503">
        <f t="shared" si="13"/>
        <v>1486719.9474378079</v>
      </c>
      <c r="S45" s="504">
        <f t="shared" si="14"/>
        <v>52861967.933341391</v>
      </c>
      <c r="T45" s="505">
        <f t="shared" si="15"/>
        <v>0</v>
      </c>
      <c r="U45" s="422">
        <f t="shared" si="16"/>
        <v>0.81125182183382227</v>
      </c>
      <c r="V45" s="180">
        <f t="shared" si="17"/>
        <v>12299017.238744542</v>
      </c>
      <c r="W45" s="124">
        <f>V45/ITA!B43*1000</f>
        <v>89.283443179578384</v>
      </c>
    </row>
    <row r="46" spans="1:23" x14ac:dyDescent="0.25">
      <c r="A46" s="125" t="s">
        <v>43</v>
      </c>
      <c r="B46" s="126">
        <v>898.58</v>
      </c>
      <c r="C46" s="515">
        <v>5.5738791422924082E-4</v>
      </c>
      <c r="D46" s="190">
        <f>'Total Inst. Cost'!G44</f>
        <v>5648913.7126899865</v>
      </c>
      <c r="E46" s="191">
        <f>Facilities!J54</f>
        <v>1307510.4353942501</v>
      </c>
      <c r="F46" s="192">
        <f>'District Services'!K53</f>
        <v>1152018.4346966522</v>
      </c>
      <c r="G46" s="491">
        <f t="shared" si="7"/>
        <v>8108442.5827808883</v>
      </c>
      <c r="H46" s="134"/>
      <c r="I46" s="190">
        <f>'FY 19 State Pmt'!BL45</f>
        <v>4824796.6100000003</v>
      </c>
      <c r="J46" s="191">
        <f>'Prop Tax'!K44</f>
        <v>1374918.1913816843</v>
      </c>
      <c r="K46" s="488">
        <f t="shared" si="8"/>
        <v>6199714.8013816848</v>
      </c>
      <c r="L46" s="134"/>
      <c r="M46" s="469">
        <f t="shared" si="10"/>
        <v>913289.68424074107</v>
      </c>
      <c r="N46" s="510">
        <f t="shared" si="11"/>
        <v>7195152.8985401476</v>
      </c>
      <c r="O46" s="426">
        <f t="shared" si="12"/>
        <v>995438.09715846274</v>
      </c>
      <c r="P46" s="134">
        <f>M46/ITA!B44*1000</f>
        <v>100.07613282089797</v>
      </c>
      <c r="Q46" s="480"/>
      <c r="R46" s="500">
        <f t="shared" si="13"/>
        <v>0</v>
      </c>
      <c r="S46" s="501">
        <f t="shared" si="14"/>
        <v>7195152.8985401476</v>
      </c>
      <c r="T46" s="502">
        <f t="shared" si="15"/>
        <v>995438.09715846274</v>
      </c>
      <c r="U46" s="421">
        <f t="shared" si="16"/>
        <v>0.88736558532458432</v>
      </c>
      <c r="V46" s="181">
        <f t="shared" si="17"/>
        <v>913289.68424074072</v>
      </c>
      <c r="W46" s="134">
        <f>V46/ITA!B44*1000</f>
        <v>100.07613282089794</v>
      </c>
    </row>
    <row r="47" spans="1:23" x14ac:dyDescent="0.25">
      <c r="A47" s="123" t="s">
        <v>44</v>
      </c>
      <c r="B47" s="47">
        <v>1516.32</v>
      </c>
      <c r="C47" s="516">
        <v>2.9505436716454336E-3</v>
      </c>
      <c r="D47" s="187">
        <f>'Total Inst. Cost'!G45</f>
        <v>8926769.2633693255</v>
      </c>
      <c r="E47" s="188">
        <f>Facilities!J55</f>
        <v>2098667.9578444017</v>
      </c>
      <c r="F47" s="189">
        <f>'District Services'!K54</f>
        <v>1174931.8027035149</v>
      </c>
      <c r="G47" s="490">
        <f t="shared" si="7"/>
        <v>12200369.023917243</v>
      </c>
      <c r="H47" s="124"/>
      <c r="I47" s="187">
        <f>'FY 19 State Pmt'!BL46</f>
        <v>6186039.8999999994</v>
      </c>
      <c r="J47" s="188">
        <f>'Prop Tax'!K45</f>
        <v>2968849.4208436767</v>
      </c>
      <c r="K47" s="487">
        <f t="shared" si="8"/>
        <v>9154889.3208436761</v>
      </c>
      <c r="L47" s="124"/>
      <c r="M47" s="471">
        <f t="shared" si="10"/>
        <v>4834516.5537753413</v>
      </c>
      <c r="N47" s="511">
        <f t="shared" si="11"/>
        <v>7365852.4701419016</v>
      </c>
      <c r="O47" s="427">
        <f t="shared" si="12"/>
        <v>-1789036.8507017745</v>
      </c>
      <c r="P47" s="124">
        <f>M47/ITA!B45*1000</f>
        <v>100.07613282089797</v>
      </c>
      <c r="Q47" s="481"/>
      <c r="R47" s="503">
        <f t="shared" si="13"/>
        <v>1789036.8507017745</v>
      </c>
      <c r="S47" s="504">
        <f t="shared" si="14"/>
        <v>9154889.3208436761</v>
      </c>
      <c r="T47" s="505">
        <f t="shared" si="15"/>
        <v>0</v>
      </c>
      <c r="U47" s="422">
        <f t="shared" si="16"/>
        <v>0.75037806667131968</v>
      </c>
      <c r="V47" s="180">
        <f t="shared" si="17"/>
        <v>3045479.7030735668</v>
      </c>
      <c r="W47" s="124">
        <f>V47/ITA!B45*1000</f>
        <v>63.042463062854218</v>
      </c>
    </row>
    <row r="48" spans="1:23" x14ac:dyDescent="0.25">
      <c r="A48" s="125" t="s">
        <v>45</v>
      </c>
      <c r="B48" s="126">
        <v>2087.65</v>
      </c>
      <c r="C48" s="515">
        <v>1.5649522717339638E-3</v>
      </c>
      <c r="D48" s="190">
        <f>'Total Inst. Cost'!G46</f>
        <v>12490916.49882987</v>
      </c>
      <c r="E48" s="191">
        <f>Facilities!J56</f>
        <v>2940462.4863311071</v>
      </c>
      <c r="F48" s="192">
        <f>'District Services'!K55</f>
        <v>1200820.2096142164</v>
      </c>
      <c r="G48" s="491">
        <f t="shared" si="7"/>
        <v>16632199.194775194</v>
      </c>
      <c r="H48" s="134"/>
      <c r="I48" s="190">
        <f>'FY 19 State Pmt'!BL47</f>
        <v>10893818.889999999</v>
      </c>
      <c r="J48" s="191">
        <f>'Prop Tax'!K46</f>
        <v>3170449.9538453948</v>
      </c>
      <c r="K48" s="488">
        <f t="shared" si="8"/>
        <v>14064268.843845394</v>
      </c>
      <c r="L48" s="134"/>
      <c r="M48" s="469">
        <f t="shared" si="10"/>
        <v>2564201.2135841227</v>
      </c>
      <c r="N48" s="510">
        <f t="shared" si="11"/>
        <v>14067997.981191071</v>
      </c>
      <c r="O48" s="426">
        <f t="shared" si="12"/>
        <v>3729.1373456772417</v>
      </c>
      <c r="P48" s="134">
        <f>M48/ITA!B46*1000</f>
        <v>100.07613282089798</v>
      </c>
      <c r="Q48" s="480"/>
      <c r="R48" s="500">
        <f t="shared" si="13"/>
        <v>0</v>
      </c>
      <c r="S48" s="501">
        <f t="shared" si="14"/>
        <v>14067997.981191071</v>
      </c>
      <c r="T48" s="502">
        <f t="shared" si="15"/>
        <v>3729.1373456772417</v>
      </c>
      <c r="U48" s="421">
        <f t="shared" si="16"/>
        <v>0.84582909430343789</v>
      </c>
      <c r="V48" s="181">
        <f t="shared" si="17"/>
        <v>2564201.2135841232</v>
      </c>
      <c r="W48" s="134">
        <f>V48/ITA!B46*1000</f>
        <v>100.076132820898</v>
      </c>
    </row>
    <row r="49" spans="1:23" x14ac:dyDescent="0.25">
      <c r="A49" s="123" t="s">
        <v>46</v>
      </c>
      <c r="B49" s="47">
        <v>662.1</v>
      </c>
      <c r="C49" s="516">
        <v>7.6481867090661109E-4</v>
      </c>
      <c r="D49" s="187">
        <f>'Total Inst. Cost'!G47</f>
        <v>4295635.3025124501</v>
      </c>
      <c r="E49" s="188">
        <f>Facilities!J57</f>
        <v>999962.20649067266</v>
      </c>
      <c r="F49" s="189">
        <f>'District Services'!K56</f>
        <v>1143047.1204426477</v>
      </c>
      <c r="G49" s="492">
        <f t="shared" si="7"/>
        <v>6438644.6294457708</v>
      </c>
      <c r="H49" s="124"/>
      <c r="I49" s="187">
        <f>'FY 19 State Pmt'!BL48</f>
        <v>3627758.8199999989</v>
      </c>
      <c r="J49" s="188">
        <f>'Prop Tax'!K47</f>
        <v>1585720.2533301685</v>
      </c>
      <c r="K49" s="487">
        <f t="shared" si="8"/>
        <v>5213479.0733301677</v>
      </c>
      <c r="L49" s="124"/>
      <c r="M49" s="471">
        <f t="shared" si="10"/>
        <v>1253168.5467554734</v>
      </c>
      <c r="N49" s="511">
        <f t="shared" si="11"/>
        <v>5185476.0826902976</v>
      </c>
      <c r="O49" s="427">
        <f t="shared" si="12"/>
        <v>-28002.990639870055</v>
      </c>
      <c r="P49" s="124">
        <f>M49/ITA!B47*1000</f>
        <v>100.07613282089798</v>
      </c>
      <c r="Q49" s="481"/>
      <c r="R49" s="503">
        <f t="shared" si="13"/>
        <v>28002.990639870055</v>
      </c>
      <c r="S49" s="504">
        <f t="shared" si="14"/>
        <v>5213479.0733301677</v>
      </c>
      <c r="T49" s="505">
        <f t="shared" si="15"/>
        <v>0</v>
      </c>
      <c r="U49" s="422">
        <f t="shared" si="16"/>
        <v>0.80971685399244286</v>
      </c>
      <c r="V49" s="180">
        <f t="shared" si="17"/>
        <v>1225165.5561156031</v>
      </c>
      <c r="W49" s="124">
        <f>V49/ITA!B47*1000</f>
        <v>97.839856608960105</v>
      </c>
    </row>
    <row r="50" spans="1:23" x14ac:dyDescent="0.25">
      <c r="A50" s="125" t="s">
        <v>47</v>
      </c>
      <c r="B50" s="126">
        <v>43529.94</v>
      </c>
      <c r="C50" s="515">
        <v>9.9572740897162254E-2</v>
      </c>
      <c r="D50" s="190">
        <f>'Total Inst. Cost'!G48</f>
        <v>259925256.60418406</v>
      </c>
      <c r="E50" s="191">
        <f>Facilities!J58</f>
        <v>61206925.01893384</v>
      </c>
      <c r="F50" s="192">
        <f>'District Services'!K57</f>
        <v>5071243.6453510327</v>
      </c>
      <c r="G50" s="491">
        <f t="shared" si="7"/>
        <v>326203425.26846898</v>
      </c>
      <c r="H50" s="134"/>
      <c r="I50" s="190">
        <f>'FY 19 State Pmt'!BL49</f>
        <v>148180881.41999999</v>
      </c>
      <c r="J50" s="191">
        <f>'Prop Tax'!K48</f>
        <v>54556587.447544195</v>
      </c>
      <c r="K50" s="488">
        <f t="shared" si="8"/>
        <v>202737468.86754417</v>
      </c>
      <c r="L50" s="134"/>
      <c r="M50" s="469">
        <f t="shared" si="10"/>
        <v>163151648.55826679</v>
      </c>
      <c r="N50" s="510">
        <f t="shared" si="11"/>
        <v>163051776.71020219</v>
      </c>
      <c r="O50" s="426">
        <f t="shared" si="12"/>
        <v>-39685692.157341987</v>
      </c>
      <c r="P50" s="134">
        <f>M50/ITA!B48*1000</f>
        <v>100.076132820898</v>
      </c>
      <c r="Q50" s="480"/>
      <c r="R50" s="500">
        <f t="shared" si="13"/>
        <v>39685692.157341987</v>
      </c>
      <c r="S50" s="501">
        <f t="shared" si="14"/>
        <v>202737468.86754417</v>
      </c>
      <c r="T50" s="502">
        <f t="shared" si="15"/>
        <v>0</v>
      </c>
      <c r="U50" s="421">
        <f t="shared" si="16"/>
        <v>0.62150625396005277</v>
      </c>
      <c r="V50" s="181">
        <f t="shared" si="17"/>
        <v>123465956.4009248</v>
      </c>
      <c r="W50" s="134">
        <f>V50/ITA!B48*1000</f>
        <v>75.733193999724875</v>
      </c>
    </row>
    <row r="51" spans="1:23" x14ac:dyDescent="0.25">
      <c r="A51" s="123" t="s">
        <v>48</v>
      </c>
      <c r="B51" s="47">
        <v>2404.8000000000002</v>
      </c>
      <c r="C51" s="516">
        <v>6.2600896758453449E-3</v>
      </c>
      <c r="D51" s="187">
        <f>'Total Inst. Cost'!G49</f>
        <v>15030572.768357413</v>
      </c>
      <c r="E51" s="188">
        <f>Facilities!J59</f>
        <v>3457626.2679540794</v>
      </c>
      <c r="F51" s="189">
        <f>'District Services'!K58</f>
        <v>1217319.1182682149</v>
      </c>
      <c r="G51" s="490">
        <f t="shared" si="7"/>
        <v>19705518.154579706</v>
      </c>
      <c r="H51" s="124"/>
      <c r="I51" s="187">
        <f>'FY 19 State Pmt'!BL50</f>
        <v>8705314.7899999991</v>
      </c>
      <c r="J51" s="188">
        <f>'Prop Tax'!K49</f>
        <v>3930111.2477237014</v>
      </c>
      <c r="K51" s="487">
        <f t="shared" si="8"/>
        <v>12635426.037723701</v>
      </c>
      <c r="L51" s="124"/>
      <c r="M51" s="471">
        <f t="shared" si="10"/>
        <v>10257264.60409067</v>
      </c>
      <c r="N51" s="511">
        <f t="shared" si="11"/>
        <v>9448253.5504890364</v>
      </c>
      <c r="O51" s="427">
        <f t="shared" si="12"/>
        <v>-3187172.4872346651</v>
      </c>
      <c r="P51" s="124">
        <f>M51/ITA!B49*1000</f>
        <v>100.07613282089798</v>
      </c>
      <c r="Q51" s="481"/>
      <c r="R51" s="503">
        <f t="shared" si="13"/>
        <v>3187172.4872346651</v>
      </c>
      <c r="S51" s="504">
        <f t="shared" si="14"/>
        <v>12635426.037723701</v>
      </c>
      <c r="T51" s="505">
        <f t="shared" si="15"/>
        <v>0</v>
      </c>
      <c r="U51" s="422">
        <f t="shared" si="16"/>
        <v>0.641212575005907</v>
      </c>
      <c r="V51" s="180">
        <f t="shared" si="17"/>
        <v>7070092.116856005</v>
      </c>
      <c r="W51" s="124">
        <f>V51/ITA!B49*1000</f>
        <v>68.980133110760391</v>
      </c>
    </row>
    <row r="52" spans="1:23" x14ac:dyDescent="0.25">
      <c r="A52" s="125" t="s">
        <v>49</v>
      </c>
      <c r="B52" s="126">
        <v>10525.82</v>
      </c>
      <c r="C52" s="515">
        <v>8.7248394586505185E-3</v>
      </c>
      <c r="D52" s="190">
        <f>'Total Inst. Cost'!G50</f>
        <v>62579152.539829418</v>
      </c>
      <c r="E52" s="191">
        <f>Facilities!J60</f>
        <v>14655736.876247827</v>
      </c>
      <c r="F52" s="192">
        <f>'District Services'!K59</f>
        <v>2759302.2922234498</v>
      </c>
      <c r="G52" s="491">
        <f t="shared" si="7"/>
        <v>79994191.708300695</v>
      </c>
      <c r="H52" s="134"/>
      <c r="I52" s="190">
        <f>'FY 19 State Pmt'!BL51</f>
        <v>49922078.980000004</v>
      </c>
      <c r="J52" s="191">
        <f>'Prop Tax'!K50</f>
        <v>15366186.393296137</v>
      </c>
      <c r="K52" s="488">
        <f t="shared" si="8"/>
        <v>65288265.373296142</v>
      </c>
      <c r="L52" s="134"/>
      <c r="M52" s="469">
        <f t="shared" si="10"/>
        <v>14295799.515604334</v>
      </c>
      <c r="N52" s="510">
        <f t="shared" si="11"/>
        <v>65698392.192696363</v>
      </c>
      <c r="O52" s="426">
        <f t="shared" si="12"/>
        <v>410126.81940022111</v>
      </c>
      <c r="P52" s="134">
        <f>M52/ITA!B50*1000</f>
        <v>100.07613282089798</v>
      </c>
      <c r="Q52" s="480"/>
      <c r="R52" s="500">
        <f t="shared" si="13"/>
        <v>0</v>
      </c>
      <c r="S52" s="501">
        <f t="shared" si="14"/>
        <v>65698392.192696363</v>
      </c>
      <c r="T52" s="502">
        <f t="shared" si="15"/>
        <v>410126.81940022111</v>
      </c>
      <c r="U52" s="421">
        <f t="shared" si="16"/>
        <v>0.82128953102327662</v>
      </c>
      <c r="V52" s="181">
        <f t="shared" si="17"/>
        <v>14295799.515604332</v>
      </c>
      <c r="W52" s="134">
        <f>V52/ITA!B50*1000</f>
        <v>100.07613282089797</v>
      </c>
    </row>
    <row r="53" spans="1:23" x14ac:dyDescent="0.25">
      <c r="A53" s="123" t="s">
        <v>50</v>
      </c>
      <c r="B53" s="47">
        <v>13258.42</v>
      </c>
      <c r="C53" s="516">
        <v>1.2120208595260508E-2</v>
      </c>
      <c r="D53" s="187">
        <f>'Total Inst. Cost'!G51</f>
        <v>77889996.458737433</v>
      </c>
      <c r="E53" s="188">
        <f>Facilities!J61</f>
        <v>18358153.718373217</v>
      </c>
      <c r="F53" s="189">
        <f>'District Services'!K60</f>
        <v>3623520.8927567909</v>
      </c>
      <c r="G53" s="492">
        <f t="shared" si="7"/>
        <v>99871671.069867432</v>
      </c>
      <c r="H53" s="124"/>
      <c r="I53" s="187">
        <f>'FY 19 State Pmt'!BL52</f>
        <v>59816227.270000026</v>
      </c>
      <c r="J53" s="188">
        <f>'Prop Tax'!K51</f>
        <v>16083032.14527007</v>
      </c>
      <c r="K53" s="487">
        <f t="shared" si="8"/>
        <v>75899259.41527009</v>
      </c>
      <c r="L53" s="124"/>
      <c r="M53" s="471">
        <f t="shared" si="10"/>
        <v>19859170.244485877</v>
      </c>
      <c r="N53" s="511">
        <f t="shared" si="11"/>
        <v>80012500.825381547</v>
      </c>
      <c r="O53" s="427">
        <f t="shared" si="12"/>
        <v>4113241.4101114571</v>
      </c>
      <c r="P53" s="124">
        <f>M53/ITA!B51*1000</f>
        <v>100.07613282089798</v>
      </c>
      <c r="Q53" s="481"/>
      <c r="R53" s="503">
        <f t="shared" si="13"/>
        <v>0</v>
      </c>
      <c r="S53" s="504">
        <f t="shared" si="14"/>
        <v>80012500.825381547</v>
      </c>
      <c r="T53" s="505">
        <f t="shared" si="15"/>
        <v>4113241.4101114571</v>
      </c>
      <c r="U53" s="422">
        <f t="shared" si="16"/>
        <v>0.80115311948076884</v>
      </c>
      <c r="V53" s="180">
        <f t="shared" si="17"/>
        <v>19859170.244485885</v>
      </c>
      <c r="W53" s="124">
        <f>V53/ITA!B51*1000</f>
        <v>100.07613282089802</v>
      </c>
    </row>
    <row r="54" spans="1:23" x14ac:dyDescent="0.25">
      <c r="A54" s="125" t="s">
        <v>51</v>
      </c>
      <c r="B54" s="126">
        <v>5388.16</v>
      </c>
      <c r="C54" s="515">
        <v>4.465096153017694E-3</v>
      </c>
      <c r="D54" s="190">
        <f>'Total Inst. Cost'!G52</f>
        <v>33626901.71245192</v>
      </c>
      <c r="E54" s="191">
        <f>Facilities!J62</f>
        <v>7772001.6417559087</v>
      </c>
      <c r="F54" s="192">
        <f>'District Services'!K61</f>
        <v>1349034.3350494609</v>
      </c>
      <c r="G54" s="491">
        <f t="shared" si="7"/>
        <v>42747937.689257286</v>
      </c>
      <c r="H54" s="134"/>
      <c r="I54" s="190">
        <f>'FY 19 State Pmt'!BL53</f>
        <v>27442931.940000001</v>
      </c>
      <c r="J54" s="191">
        <f>'Prop Tax'!K52</f>
        <v>7563163.644267695</v>
      </c>
      <c r="K54" s="488">
        <f t="shared" si="8"/>
        <v>35006095.584267698</v>
      </c>
      <c r="L54" s="134"/>
      <c r="M54" s="469">
        <f t="shared" si="10"/>
        <v>7316136.8440021835</v>
      </c>
      <c r="N54" s="510">
        <f t="shared" si="11"/>
        <v>35431800.845255107</v>
      </c>
      <c r="O54" s="426">
        <f t="shared" si="12"/>
        <v>425705.26098740846</v>
      </c>
      <c r="P54" s="134">
        <f>M54/ITA!B52*1000</f>
        <v>100.076132820898</v>
      </c>
      <c r="Q54" s="480"/>
      <c r="R54" s="500">
        <f t="shared" si="13"/>
        <v>0</v>
      </c>
      <c r="S54" s="501">
        <f t="shared" si="14"/>
        <v>35431800.845255107</v>
      </c>
      <c r="T54" s="502">
        <f t="shared" si="15"/>
        <v>425705.26098740846</v>
      </c>
      <c r="U54" s="421">
        <f t="shared" si="16"/>
        <v>0.82885403976246663</v>
      </c>
      <c r="V54" s="181">
        <f t="shared" si="17"/>
        <v>7316136.8440021798</v>
      </c>
      <c r="W54" s="134">
        <f>V54/ITA!B52*1000</f>
        <v>100.07613282089794</v>
      </c>
    </row>
    <row r="55" spans="1:23" x14ac:dyDescent="0.25">
      <c r="A55" s="123" t="s">
        <v>52</v>
      </c>
      <c r="B55" s="47">
        <v>2979.52</v>
      </c>
      <c r="C55" s="516">
        <v>2.3726243938374772E-3</v>
      </c>
      <c r="D55" s="187">
        <f>'Total Inst. Cost'!G53</f>
        <v>19091765.19578898</v>
      </c>
      <c r="E55" s="188">
        <f>Facilities!J63</f>
        <v>4427579.6172468383</v>
      </c>
      <c r="F55" s="189">
        <f>'District Services'!K62</f>
        <v>1248616.053971905</v>
      </c>
      <c r="G55" s="490">
        <f t="shared" si="7"/>
        <v>24767960.867007721</v>
      </c>
      <c r="H55" s="124"/>
      <c r="I55" s="187">
        <f>'FY 19 State Pmt'!BL54</f>
        <v>15494870.219999997</v>
      </c>
      <c r="J55" s="188">
        <f>'Prop Tax'!K53</f>
        <v>3874066.4311927739</v>
      </c>
      <c r="K55" s="487">
        <f t="shared" si="8"/>
        <v>19368936.651192769</v>
      </c>
      <c r="L55" s="124"/>
      <c r="M55" s="471">
        <f t="shared" si="10"/>
        <v>3887585.8771823244</v>
      </c>
      <c r="N55" s="511">
        <f t="shared" si="11"/>
        <v>20880374.989825398</v>
      </c>
      <c r="O55" s="427">
        <f t="shared" si="12"/>
        <v>1511438.3386326283</v>
      </c>
      <c r="P55" s="124">
        <f>M55/ITA!B53*1000</f>
        <v>100.07613282089798</v>
      </c>
      <c r="Q55" s="481"/>
      <c r="R55" s="503">
        <f t="shared" si="13"/>
        <v>0</v>
      </c>
      <c r="S55" s="504">
        <f t="shared" si="14"/>
        <v>20880374.989825398</v>
      </c>
      <c r="T55" s="505">
        <f t="shared" si="15"/>
        <v>1511438.3386326283</v>
      </c>
      <c r="U55" s="422">
        <f t="shared" si="16"/>
        <v>0.84303972789456394</v>
      </c>
      <c r="V55" s="180">
        <f t="shared" si="17"/>
        <v>3887585.8771823235</v>
      </c>
      <c r="W55" s="124">
        <f>V55/ITA!B53*1000</f>
        <v>100.07613282089795</v>
      </c>
    </row>
    <row r="56" spans="1:23" x14ac:dyDescent="0.25">
      <c r="A56" s="125" t="s">
        <v>53</v>
      </c>
      <c r="B56" s="126">
        <v>1729.85</v>
      </c>
      <c r="C56" s="515">
        <v>1.6673044362795805E-3</v>
      </c>
      <c r="D56" s="190">
        <f>'Total Inst. Cost'!G54</f>
        <v>10908566.86079569</v>
      </c>
      <c r="E56" s="191">
        <f>Facilities!J64</f>
        <v>2531396.1516253799</v>
      </c>
      <c r="F56" s="192">
        <f>'District Services'!K63</f>
        <v>1189646.8528093267</v>
      </c>
      <c r="G56" s="491">
        <f t="shared" si="7"/>
        <v>14629609.865230396</v>
      </c>
      <c r="H56" s="134"/>
      <c r="I56" s="190">
        <f>'FY 19 State Pmt'!BL55</f>
        <v>8921745.120000001</v>
      </c>
      <c r="J56" s="191">
        <f>'Prop Tax'!K54</f>
        <v>3888122.1268320875</v>
      </c>
      <c r="K56" s="488">
        <f t="shared" si="8"/>
        <v>12809867.246832088</v>
      </c>
      <c r="L56" s="134"/>
      <c r="M56" s="469">
        <f t="shared" si="10"/>
        <v>2731906.9955949928</v>
      </c>
      <c r="N56" s="510">
        <f t="shared" si="11"/>
        <v>11897702.869635403</v>
      </c>
      <c r="O56" s="426">
        <f t="shared" si="12"/>
        <v>-912164.37719668448</v>
      </c>
      <c r="P56" s="134">
        <f>M56/ITA!B54*1000</f>
        <v>100.07613282089798</v>
      </c>
      <c r="Q56" s="480"/>
      <c r="R56" s="500">
        <f t="shared" si="13"/>
        <v>912164.37719668448</v>
      </c>
      <c r="S56" s="501">
        <f t="shared" si="14"/>
        <v>12809867.246832088</v>
      </c>
      <c r="T56" s="502">
        <f t="shared" si="15"/>
        <v>0</v>
      </c>
      <c r="U56" s="421">
        <f t="shared" si="16"/>
        <v>0.87561236183589441</v>
      </c>
      <c r="V56" s="181">
        <f t="shared" si="17"/>
        <v>1819742.6183983088</v>
      </c>
      <c r="W56" s="134">
        <f>V56/ITA!B54*1000</f>
        <v>66.661421590237836</v>
      </c>
    </row>
    <row r="57" spans="1:23" x14ac:dyDescent="0.25">
      <c r="A57" s="123" t="s">
        <v>54</v>
      </c>
      <c r="B57" s="47">
        <v>25998.85</v>
      </c>
      <c r="C57" s="516">
        <v>1.8670234871242253E-2</v>
      </c>
      <c r="D57" s="187">
        <f>'Total Inst. Cost'!G55</f>
        <v>149246473.9936707</v>
      </c>
      <c r="E57" s="188">
        <f>Facilities!J65</f>
        <v>35076499.807726398</v>
      </c>
      <c r="F57" s="189">
        <f>'District Services'!K64</f>
        <v>4264056.7707009455</v>
      </c>
      <c r="G57" s="492">
        <f t="shared" si="7"/>
        <v>188587030.57209802</v>
      </c>
      <c r="H57" s="124"/>
      <c r="I57" s="187">
        <f>'FY 19 State Pmt'!BL56</f>
        <v>122984146.39</v>
      </c>
      <c r="J57" s="188">
        <f>'Prop Tax'!K55</f>
        <v>51162915.513940655</v>
      </c>
      <c r="K57" s="487">
        <f t="shared" si="8"/>
        <v>174147061.90394065</v>
      </c>
      <c r="L57" s="124"/>
      <c r="M57" s="471">
        <f t="shared" si="10"/>
        <v>30591500.954655595</v>
      </c>
      <c r="N57" s="511">
        <f t="shared" si="11"/>
        <v>157995529.61744243</v>
      </c>
      <c r="O57" s="427">
        <f t="shared" si="12"/>
        <v>-16151532.286498219</v>
      </c>
      <c r="P57" s="124">
        <f>M57/ITA!B55*1000</f>
        <v>100.076132820898</v>
      </c>
      <c r="Q57" s="481"/>
      <c r="R57" s="503">
        <f t="shared" si="13"/>
        <v>16151532.286498219</v>
      </c>
      <c r="S57" s="504">
        <f t="shared" si="14"/>
        <v>174147061.90394065</v>
      </c>
      <c r="T57" s="505">
        <f t="shared" si="15"/>
        <v>0</v>
      </c>
      <c r="U57" s="422">
        <f t="shared" si="16"/>
        <v>0.92343074375606715</v>
      </c>
      <c r="V57" s="180">
        <f t="shared" si="17"/>
        <v>14439968.668157369</v>
      </c>
      <c r="W57" s="124">
        <f>V57/ITA!B55*1000</f>
        <v>47.238487072148679</v>
      </c>
    </row>
    <row r="58" spans="1:23" x14ac:dyDescent="0.25">
      <c r="A58" s="125" t="s">
        <v>55</v>
      </c>
      <c r="B58" s="126">
        <v>8632.56</v>
      </c>
      <c r="C58" s="515">
        <v>1.4100329293555609E-2</v>
      </c>
      <c r="D58" s="190">
        <f>'Total Inst. Cost'!G56</f>
        <v>54087699.372368112</v>
      </c>
      <c r="E58" s="191">
        <f>Facilities!J66</f>
        <v>12491761.798122372</v>
      </c>
      <c r="F58" s="192">
        <f>'District Services'!K65</f>
        <v>2398518.5535541018</v>
      </c>
      <c r="G58" s="491">
        <f t="shared" si="7"/>
        <v>68977979.724044591</v>
      </c>
      <c r="H58" s="134"/>
      <c r="I58" s="190">
        <f>'FY 19 State Pmt'!BL57</f>
        <v>37095173.119999997</v>
      </c>
      <c r="J58" s="191">
        <f>'Prop Tax'!K56</f>
        <v>14380968.889584647</v>
      </c>
      <c r="K58" s="488">
        <f t="shared" si="8"/>
        <v>51476142.009584643</v>
      </c>
      <c r="L58" s="134"/>
      <c r="M58" s="469">
        <f t="shared" si="10"/>
        <v>23103632.065666888</v>
      </c>
      <c r="N58" s="510">
        <f t="shared" si="11"/>
        <v>45874347.658377707</v>
      </c>
      <c r="O58" s="426">
        <f t="shared" si="12"/>
        <v>-5601794.3512069359</v>
      </c>
      <c r="P58" s="134">
        <f>M58/ITA!B56*1000</f>
        <v>100.07613282089798</v>
      </c>
      <c r="Q58" s="480"/>
      <c r="R58" s="500">
        <f t="shared" si="13"/>
        <v>5601794.3512069359</v>
      </c>
      <c r="S58" s="501">
        <f t="shared" si="14"/>
        <v>51476142.009584643</v>
      </c>
      <c r="T58" s="502">
        <f t="shared" si="15"/>
        <v>0</v>
      </c>
      <c r="U58" s="421">
        <f t="shared" si="16"/>
        <v>0.74626920381724238</v>
      </c>
      <c r="V58" s="181">
        <f t="shared" si="17"/>
        <v>17501837.714459948</v>
      </c>
      <c r="W58" s="134">
        <f>V58/ITA!B56*1000</f>
        <v>75.811293685070979</v>
      </c>
    </row>
    <row r="59" spans="1:23" x14ac:dyDescent="0.25">
      <c r="A59" s="123" t="s">
        <v>56</v>
      </c>
      <c r="B59" s="47">
        <v>1939.18</v>
      </c>
      <c r="C59" s="516">
        <v>1.8253350540279024E-3</v>
      </c>
      <c r="D59" s="187">
        <f>'Total Inst. Cost'!G57</f>
        <v>12122426.907368965</v>
      </c>
      <c r="E59" s="188">
        <f>Facilities!J67</f>
        <v>2807492.3334671962</v>
      </c>
      <c r="F59" s="189">
        <f>'District Services'!K66</f>
        <v>1197752.7527392642</v>
      </c>
      <c r="G59" s="490">
        <f t="shared" si="7"/>
        <v>16127671.993575426</v>
      </c>
      <c r="H59" s="124"/>
      <c r="I59" s="187">
        <f>'FY 19 State Pmt'!BL58</f>
        <v>9691707.6799999978</v>
      </c>
      <c r="J59" s="188">
        <f>'Prop Tax'!K57</f>
        <v>4396403.5391870914</v>
      </c>
      <c r="K59" s="487">
        <f t="shared" si="8"/>
        <v>14088111.219187088</v>
      </c>
      <c r="L59" s="124"/>
      <c r="M59" s="471">
        <f t="shared" si="10"/>
        <v>2990842.8808183232</v>
      </c>
      <c r="N59" s="511">
        <f t="shared" si="11"/>
        <v>13136829.112757102</v>
      </c>
      <c r="O59" s="427">
        <f t="shared" si="12"/>
        <v>-951282.10642998666</v>
      </c>
      <c r="P59" s="124">
        <f>M59/ITA!B57*1000</f>
        <v>100.07613282089798</v>
      </c>
      <c r="Q59" s="481"/>
      <c r="R59" s="503">
        <f t="shared" si="13"/>
        <v>951282.10642998666</v>
      </c>
      <c r="S59" s="504">
        <f t="shared" si="14"/>
        <v>14088111.219187088</v>
      </c>
      <c r="T59" s="505">
        <f t="shared" si="15"/>
        <v>0</v>
      </c>
      <c r="U59" s="422">
        <f t="shared" si="16"/>
        <v>0.87353656651742351</v>
      </c>
      <c r="V59" s="180">
        <f t="shared" si="17"/>
        <v>2039560.7743883375</v>
      </c>
      <c r="W59" s="124">
        <f>V59/ITA!B57*1000</f>
        <v>68.245428826449754</v>
      </c>
    </row>
    <row r="60" spans="1:23" x14ac:dyDescent="0.25">
      <c r="A60" s="125" t="s">
        <v>57</v>
      </c>
      <c r="B60" s="126">
        <v>3124.12</v>
      </c>
      <c r="C60" s="515">
        <v>1.4094062156419617E-3</v>
      </c>
      <c r="D60" s="190">
        <f>'Total Inst. Cost'!G58</f>
        <v>20358429.357592933</v>
      </c>
      <c r="E60" s="191">
        <f>Facilities!J68</f>
        <v>4655822.5238384558</v>
      </c>
      <c r="F60" s="192">
        <f>'District Services'!K67</f>
        <v>1255816.3446834737</v>
      </c>
      <c r="G60" s="491">
        <f t="shared" si="7"/>
        <v>26270068.226114862</v>
      </c>
      <c r="H60" s="134"/>
      <c r="I60" s="190">
        <f>'FY 19 State Pmt'!BL59</f>
        <v>17959733.660000004</v>
      </c>
      <c r="J60" s="191">
        <f>'Prop Tax'!K58</f>
        <v>3873234.1607989687</v>
      </c>
      <c r="K60" s="488">
        <f t="shared" si="8"/>
        <v>21832967.820798971</v>
      </c>
      <c r="L60" s="134"/>
      <c r="M60" s="469">
        <f t="shared" si="10"/>
        <v>2309336.3253678135</v>
      </c>
      <c r="N60" s="510">
        <f t="shared" si="11"/>
        <v>23960731.90074705</v>
      </c>
      <c r="O60" s="426">
        <f t="shared" si="12"/>
        <v>2127764.0799480788</v>
      </c>
      <c r="P60" s="134">
        <f>M60/ITA!B58*1000</f>
        <v>100.07613282089797</v>
      </c>
      <c r="Q60" s="480"/>
      <c r="R60" s="500">
        <f t="shared" si="13"/>
        <v>0</v>
      </c>
      <c r="S60" s="501">
        <f t="shared" si="14"/>
        <v>23960731.90074705</v>
      </c>
      <c r="T60" s="502">
        <f t="shared" si="15"/>
        <v>2127764.0799480788</v>
      </c>
      <c r="U60" s="421">
        <f t="shared" si="16"/>
        <v>0.91209248847431168</v>
      </c>
      <c r="V60" s="181">
        <f t="shared" si="17"/>
        <v>2309336.3253678121</v>
      </c>
      <c r="W60" s="134">
        <f>V60/ITA!B58*1000</f>
        <v>100.07613282089791</v>
      </c>
    </row>
    <row r="61" spans="1:23" x14ac:dyDescent="0.25">
      <c r="A61" s="123" t="s">
        <v>58</v>
      </c>
      <c r="B61" s="47">
        <v>16899.259999999998</v>
      </c>
      <c r="C61" s="516">
        <v>1.625989722691178E-2</v>
      </c>
      <c r="D61" s="187">
        <f>'Total Inst. Cost'!G59</f>
        <v>96678518.960273594</v>
      </c>
      <c r="E61" s="188">
        <f>Facilities!J69</f>
        <v>22794168.073393114</v>
      </c>
      <c r="F61" s="189">
        <f>'District Services'!K68</f>
        <v>3899728.6975525306</v>
      </c>
      <c r="G61" s="493">
        <f t="shared" si="7"/>
        <v>123372415.73121923</v>
      </c>
      <c r="H61" s="124"/>
      <c r="I61" s="187">
        <f>'FY 19 State Pmt'!BL60</f>
        <v>74309378.889999986</v>
      </c>
      <c r="J61" s="188">
        <f>'Prop Tax'!K59</f>
        <v>45732337.264372997</v>
      </c>
      <c r="K61" s="487">
        <f t="shared" si="8"/>
        <v>120041716.15437299</v>
      </c>
      <c r="L61" s="124"/>
      <c r="M61" s="471">
        <f t="shared" si="10"/>
        <v>26642121.267892614</v>
      </c>
      <c r="N61" s="511">
        <f t="shared" si="11"/>
        <v>96730294.463326618</v>
      </c>
      <c r="O61" s="427">
        <f t="shared" si="12"/>
        <v>-23311421.691046372</v>
      </c>
      <c r="P61" s="124">
        <f>M61/ITA!B59*1000</f>
        <v>100.07613282089798</v>
      </c>
      <c r="Q61" s="481"/>
      <c r="R61" s="503">
        <f t="shared" si="13"/>
        <v>23311421.691046372</v>
      </c>
      <c r="S61" s="504">
        <f t="shared" si="14"/>
        <v>120041716.15437299</v>
      </c>
      <c r="T61" s="505">
        <f t="shared" si="15"/>
        <v>0</v>
      </c>
      <c r="U61" s="422">
        <f t="shared" si="16"/>
        <v>0.97300288271810653</v>
      </c>
      <c r="V61" s="180">
        <f t="shared" si="17"/>
        <v>3330699.576846242</v>
      </c>
      <c r="W61" s="124">
        <f>V61/ITA!B59*1000</f>
        <v>12.511148413721601</v>
      </c>
    </row>
    <row r="62" spans="1:23" x14ac:dyDescent="0.25">
      <c r="A62" s="125" t="s">
        <v>59</v>
      </c>
      <c r="B62" s="126">
        <v>4230.8599999999997</v>
      </c>
      <c r="C62" s="515">
        <v>3.3424400149640473E-3</v>
      </c>
      <c r="D62" s="190">
        <f>'Total Inst. Cost'!G60</f>
        <v>26956286.689875893</v>
      </c>
      <c r="E62" s="191">
        <f>Facilities!J70</f>
        <v>6328538.8602237673</v>
      </c>
      <c r="F62" s="192">
        <f>'District Services'!K69</f>
        <v>1307759.7078050536</v>
      </c>
      <c r="G62" s="491">
        <f t="shared" si="7"/>
        <v>34592585.257904716</v>
      </c>
      <c r="H62" s="134"/>
      <c r="I62" s="190">
        <f>'FY 19 State Pmt'!BL61</f>
        <v>21344328.469999995</v>
      </c>
      <c r="J62" s="191">
        <f>'Prop Tax'!K60</f>
        <v>5788049.6511923019</v>
      </c>
      <c r="K62" s="488">
        <f t="shared" si="8"/>
        <v>27132378.121192299</v>
      </c>
      <c r="L62" s="134"/>
      <c r="M62" s="469">
        <f t="shared" si="10"/>
        <v>5476645.452711883</v>
      </c>
      <c r="N62" s="510">
        <f t="shared" si="11"/>
        <v>29115939.805192832</v>
      </c>
      <c r="O62" s="426">
        <f t="shared" si="12"/>
        <v>1983561.6840005331</v>
      </c>
      <c r="P62" s="134">
        <f>M62/ITA!B60*1000</f>
        <v>100.07613282089798</v>
      </c>
      <c r="Q62" s="480"/>
      <c r="R62" s="500">
        <f t="shared" si="13"/>
        <v>0</v>
      </c>
      <c r="S62" s="501">
        <f t="shared" si="14"/>
        <v>29115939.805192832</v>
      </c>
      <c r="T62" s="502">
        <f t="shared" si="15"/>
        <v>1983561.6840005331</v>
      </c>
      <c r="U62" s="421">
        <f t="shared" si="16"/>
        <v>0.84168152186716305</v>
      </c>
      <c r="V62" s="181">
        <f t="shared" si="17"/>
        <v>5476645.4527118839</v>
      </c>
      <c r="W62" s="134">
        <f>V62/ITA!B60*1000</f>
        <v>100.07613282089801</v>
      </c>
    </row>
    <row r="63" spans="1:23" x14ac:dyDescent="0.25">
      <c r="A63" s="123" t="s">
        <v>60</v>
      </c>
      <c r="B63" s="47">
        <v>3684.37</v>
      </c>
      <c r="C63" s="516">
        <v>3.4378982065055635E-3</v>
      </c>
      <c r="D63" s="187">
        <f>'Total Inst. Cost'!G61</f>
        <v>23031937.931125272</v>
      </c>
      <c r="E63" s="188">
        <f>Facilities!J71</f>
        <v>5386654.6249611219</v>
      </c>
      <c r="F63" s="189">
        <f>'District Services'!K70</f>
        <v>1277164.8946310354</v>
      </c>
      <c r="G63" s="490">
        <f t="shared" si="7"/>
        <v>29695757.450717431</v>
      </c>
      <c r="H63" s="124"/>
      <c r="I63" s="187">
        <f>'FY 19 State Pmt'!BL62</f>
        <v>18962094.889999997</v>
      </c>
      <c r="J63" s="188">
        <f>'Prop Tax'!K61</f>
        <v>5435809.0912967287</v>
      </c>
      <c r="K63" s="487">
        <f t="shared" si="8"/>
        <v>24397903.981296726</v>
      </c>
      <c r="L63" s="124"/>
      <c r="M63" s="471">
        <f t="shared" si="10"/>
        <v>5633055.3413828593</v>
      </c>
      <c r="N63" s="511">
        <f t="shared" si="11"/>
        <v>24062702.109334573</v>
      </c>
      <c r="O63" s="427">
        <f t="shared" si="12"/>
        <v>-335201.87196215242</v>
      </c>
      <c r="P63" s="124">
        <f>M63/ITA!B61*1000</f>
        <v>100.07613282089798</v>
      </c>
      <c r="Q63" s="481"/>
      <c r="R63" s="503">
        <f t="shared" si="13"/>
        <v>335201.87196215242</v>
      </c>
      <c r="S63" s="504">
        <f t="shared" si="14"/>
        <v>24397903.981296726</v>
      </c>
      <c r="T63" s="505">
        <f t="shared" si="15"/>
        <v>0</v>
      </c>
      <c r="U63" s="422">
        <f t="shared" si="16"/>
        <v>0.82159561081366816</v>
      </c>
      <c r="V63" s="180">
        <f t="shared" si="17"/>
        <v>5297853.469420705</v>
      </c>
      <c r="W63" s="124">
        <f>V63/ITA!B61*1000</f>
        <v>94.120979706413735</v>
      </c>
    </row>
    <row r="64" spans="1:23" x14ac:dyDescent="0.25">
      <c r="A64" s="125" t="s">
        <v>61</v>
      </c>
      <c r="B64" s="126">
        <v>665.85</v>
      </c>
      <c r="C64" s="515">
        <v>1.6201801580265024E-3</v>
      </c>
      <c r="D64" s="190">
        <f>'Total Inst. Cost'!G62</f>
        <v>4237023.9889165387</v>
      </c>
      <c r="E64" s="191">
        <f>Facilities!J72</f>
        <v>986408.55212152505</v>
      </c>
      <c r="F64" s="192">
        <f>'District Services'!K71</f>
        <v>1142403.0222093277</v>
      </c>
      <c r="G64" s="491">
        <f t="shared" si="7"/>
        <v>6365835.563247391</v>
      </c>
      <c r="H64" s="134"/>
      <c r="I64" s="190">
        <f>'FY 19 State Pmt'!BL63</f>
        <v>2392552.8900000006</v>
      </c>
      <c r="J64" s="191">
        <f>'Prop Tax'!K62</f>
        <v>3296376.9250261942</v>
      </c>
      <c r="K64" s="488">
        <f t="shared" si="8"/>
        <v>5688929.8150261948</v>
      </c>
      <c r="L64" s="134"/>
      <c r="M64" s="469">
        <f t="shared" si="10"/>
        <v>2654693.0551647632</v>
      </c>
      <c r="N64" s="510">
        <f t="shared" si="11"/>
        <v>3711142.5080826278</v>
      </c>
      <c r="O64" s="426">
        <f t="shared" si="12"/>
        <v>-1977787.306943567</v>
      </c>
      <c r="P64" s="134">
        <f>M64/ITA!B62*1000</f>
        <v>100.07613282089798</v>
      </c>
      <c r="Q64" s="480"/>
      <c r="R64" s="500">
        <f t="shared" si="13"/>
        <v>1977787.306943567</v>
      </c>
      <c r="S64" s="501">
        <f t="shared" si="14"/>
        <v>5688929.8150261948</v>
      </c>
      <c r="T64" s="502">
        <f t="shared" si="15"/>
        <v>0</v>
      </c>
      <c r="U64" s="421">
        <f t="shared" si="16"/>
        <v>0.89366584457046705</v>
      </c>
      <c r="V64" s="181">
        <f t="shared" si="17"/>
        <v>676905.74822119623</v>
      </c>
      <c r="W64" s="134">
        <f>V64/ITA!B62*1000</f>
        <v>25.517868980905348</v>
      </c>
    </row>
    <row r="65" spans="1:23" x14ac:dyDescent="0.25">
      <c r="A65" s="123" t="s">
        <v>62</v>
      </c>
      <c r="B65" s="47">
        <v>5751.42</v>
      </c>
      <c r="C65" s="516">
        <v>6.382763525753247E-3</v>
      </c>
      <c r="D65" s="187">
        <f>'Total Inst. Cost'!G63</f>
        <v>35393010.819653735</v>
      </c>
      <c r="E65" s="188">
        <f>Facilities!J73</f>
        <v>8190267.411438548</v>
      </c>
      <c r="F65" s="189">
        <f>'District Services'!K72</f>
        <v>1360504.364746399</v>
      </c>
      <c r="G65" s="492">
        <f t="shared" si="7"/>
        <v>44943782.595838681</v>
      </c>
      <c r="H65" s="124"/>
      <c r="I65" s="187">
        <f>'FY 19 State Pmt'!BL64</f>
        <v>26858974.979999997</v>
      </c>
      <c r="J65" s="188">
        <f>'Prop Tax'!K63</f>
        <v>10074318.971803756</v>
      </c>
      <c r="K65" s="487">
        <f t="shared" si="8"/>
        <v>36933293.951803751</v>
      </c>
      <c r="L65" s="124"/>
      <c r="M65" s="471">
        <f t="shared" si="10"/>
        <v>10458267.817089843</v>
      </c>
      <c r="N65" s="511">
        <f t="shared" si="11"/>
        <v>34485514.77874884</v>
      </c>
      <c r="O65" s="427">
        <f t="shared" si="12"/>
        <v>-2447779.1730549112</v>
      </c>
      <c r="P65" s="124">
        <f>M65/ITA!B63*1000</f>
        <v>100.07613282089798</v>
      </c>
      <c r="Q65" s="481"/>
      <c r="R65" s="503">
        <f t="shared" si="13"/>
        <v>2447779.1730549112</v>
      </c>
      <c r="S65" s="504">
        <f t="shared" si="14"/>
        <v>36933293.951803751</v>
      </c>
      <c r="T65" s="505">
        <f t="shared" si="15"/>
        <v>0</v>
      </c>
      <c r="U65" s="422">
        <f t="shared" si="16"/>
        <v>0.82176647844552775</v>
      </c>
      <c r="V65" s="180">
        <f t="shared" si="17"/>
        <v>8010488.6440349296</v>
      </c>
      <c r="W65" s="124">
        <f>V65/ITA!B63*1000</f>
        <v>76.65310733300835</v>
      </c>
    </row>
    <row r="66" spans="1:23" x14ac:dyDescent="0.25">
      <c r="A66" s="125" t="s">
        <v>63</v>
      </c>
      <c r="B66" s="126">
        <v>10099.5</v>
      </c>
      <c r="C66" s="515">
        <v>2.5744017909298453E-2</v>
      </c>
      <c r="D66" s="190">
        <f>'Total Inst. Cost'!G64</f>
        <v>62305314.79242982</v>
      </c>
      <c r="E66" s="191">
        <f>Facilities!J74</f>
        <v>14605094.086315569</v>
      </c>
      <c r="F66" s="192">
        <f>'District Services'!K73</f>
        <v>2915466.4729883629</v>
      </c>
      <c r="G66" s="491">
        <f t="shared" si="7"/>
        <v>79825875.351733759</v>
      </c>
      <c r="H66" s="134"/>
      <c r="I66" s="190">
        <f>'FY 19 State Pmt'!BL65</f>
        <v>32109779.140000008</v>
      </c>
      <c r="J66" s="191">
        <f>'Prop Tax'!K64</f>
        <v>18802266.000316631</v>
      </c>
      <c r="K66" s="488">
        <f t="shared" si="8"/>
        <v>50912045.140316635</v>
      </c>
      <c r="L66" s="134"/>
      <c r="M66" s="469">
        <f t="shared" si="10"/>
        <v>42182016.127822481</v>
      </c>
      <c r="N66" s="510">
        <f t="shared" si="11"/>
        <v>37643859.223911278</v>
      </c>
      <c r="O66" s="426">
        <f t="shared" si="12"/>
        <v>-13268185.916405357</v>
      </c>
      <c r="P66" s="134">
        <f>M66/ITA!B64*1000</f>
        <v>100.07613282089798</v>
      </c>
      <c r="Q66" s="480"/>
      <c r="R66" s="500">
        <f t="shared" si="13"/>
        <v>13268185.916405357</v>
      </c>
      <c r="S66" s="501">
        <f t="shared" si="14"/>
        <v>50912045.140316635</v>
      </c>
      <c r="T66" s="502">
        <f t="shared" si="15"/>
        <v>0</v>
      </c>
      <c r="U66" s="421">
        <f t="shared" si="16"/>
        <v>0.63778874852276657</v>
      </c>
      <c r="V66" s="181">
        <f t="shared" si="17"/>
        <v>28913830.211417124</v>
      </c>
      <c r="W66" s="134">
        <f>V66/ITA!B64*1000</f>
        <v>68.597582055593548</v>
      </c>
    </row>
    <row r="67" spans="1:23" x14ac:dyDescent="0.25">
      <c r="A67" s="123" t="s">
        <v>64</v>
      </c>
      <c r="B67" s="47">
        <v>2483.25</v>
      </c>
      <c r="C67" s="516">
        <v>3.289874974835186E-3</v>
      </c>
      <c r="D67" s="187">
        <f>'Total Inst. Cost'!G65</f>
        <v>15750801.596492043</v>
      </c>
      <c r="E67" s="188">
        <f>Facilities!J75</f>
        <v>3656802.5590545102</v>
      </c>
      <c r="F67" s="189">
        <f>'District Services'!K74</f>
        <v>1224440.274867411</v>
      </c>
      <c r="G67" s="490">
        <f t="shared" si="7"/>
        <v>20632044.430413965</v>
      </c>
      <c r="H67" s="124"/>
      <c r="I67" s="187">
        <f>'FY 19 State Pmt'!BL66</f>
        <v>12174890.289999997</v>
      </c>
      <c r="J67" s="188">
        <f>'Prop Tax'!K65</f>
        <v>4903116.9740747465</v>
      </c>
      <c r="K67" s="487">
        <f t="shared" si="8"/>
        <v>17078007.264074743</v>
      </c>
      <c r="L67" s="124"/>
      <c r="M67" s="471">
        <f t="shared" si="10"/>
        <v>5390516.7303699674</v>
      </c>
      <c r="N67" s="511">
        <f t="shared" si="11"/>
        <v>15241527.700043999</v>
      </c>
      <c r="O67" s="427">
        <f t="shared" si="12"/>
        <v>-1836479.5640307441</v>
      </c>
      <c r="P67" s="124">
        <f>M67/ITA!B65*1000</f>
        <v>100.07613282089798</v>
      </c>
      <c r="Q67" s="481"/>
      <c r="R67" s="503">
        <f t="shared" si="13"/>
        <v>1836479.5640307441</v>
      </c>
      <c r="S67" s="504">
        <f t="shared" si="14"/>
        <v>17078007.264074743</v>
      </c>
      <c r="T67" s="505">
        <f t="shared" si="15"/>
        <v>0</v>
      </c>
      <c r="U67" s="422">
        <f t="shared" si="16"/>
        <v>0.82774188092091494</v>
      </c>
      <c r="V67" s="180">
        <f t="shared" si="17"/>
        <v>3554037.1663392223</v>
      </c>
      <c r="W67" s="124">
        <f>V67/ITA!B65*1000</f>
        <v>65.981484391861059</v>
      </c>
    </row>
    <row r="68" spans="1:23" x14ac:dyDescent="0.25">
      <c r="A68" s="125" t="s">
        <v>65</v>
      </c>
      <c r="B68" s="126">
        <v>3390.2</v>
      </c>
      <c r="C68" s="515">
        <v>3.6676308342297138E-3</v>
      </c>
      <c r="D68" s="190">
        <f>'Total Inst. Cost'!G66</f>
        <v>20594441.994047031</v>
      </c>
      <c r="E68" s="191">
        <f>Facilities!J76</f>
        <v>4837701.7710386161</v>
      </c>
      <c r="F68" s="192">
        <f>'District Services'!K75</f>
        <v>1258906.3420880197</v>
      </c>
      <c r="G68" s="491">
        <f t="shared" si="7"/>
        <v>26691050.107173666</v>
      </c>
      <c r="H68" s="134"/>
      <c r="I68" s="190">
        <f>'FY 19 State Pmt'!BL67</f>
        <v>16215838.600000003</v>
      </c>
      <c r="J68" s="191">
        <f>'Prop Tax'!K66</f>
        <v>3406975.4480954232</v>
      </c>
      <c r="K68" s="488">
        <f t="shared" si="8"/>
        <v>19622814.048095427</v>
      </c>
      <c r="L68" s="134"/>
      <c r="M68" s="469">
        <f t="shared" si="10"/>
        <v>6009476.2031880794</v>
      </c>
      <c r="N68" s="510">
        <f t="shared" si="11"/>
        <v>20681573.903985586</v>
      </c>
      <c r="O68" s="426">
        <f t="shared" si="12"/>
        <v>1058759.8558901586</v>
      </c>
      <c r="P68" s="134">
        <f>M68/ITA!B66*1000</f>
        <v>100.07613282089797</v>
      </c>
      <c r="Q68" s="480"/>
      <c r="R68" s="500">
        <f t="shared" si="13"/>
        <v>0</v>
      </c>
      <c r="S68" s="501">
        <f t="shared" si="14"/>
        <v>20681573.903985586</v>
      </c>
      <c r="T68" s="502">
        <f t="shared" si="15"/>
        <v>1058759.8558901586</v>
      </c>
      <c r="U68" s="421">
        <f t="shared" si="16"/>
        <v>0.77485051434627017</v>
      </c>
      <c r="V68" s="181">
        <f t="shared" si="17"/>
        <v>6009476.2031880803</v>
      </c>
      <c r="W68" s="134">
        <f>V68/ITA!B66*1000</f>
        <v>100.07613282089798</v>
      </c>
    </row>
    <row r="69" spans="1:23" x14ac:dyDescent="0.25">
      <c r="A69" s="123" t="s">
        <v>66</v>
      </c>
      <c r="B69" s="47">
        <v>6118.74</v>
      </c>
      <c r="C69" s="516">
        <v>8.3599765802466128E-3</v>
      </c>
      <c r="D69" s="187">
        <f>'Total Inst. Cost'!G67</f>
        <v>37676667.74248448</v>
      </c>
      <c r="E69" s="188">
        <f>Facilities!J77</f>
        <v>8851616.5379096959</v>
      </c>
      <c r="F69" s="189">
        <f>'District Services'!K76</f>
        <v>1533116.946011815</v>
      </c>
      <c r="G69" s="492">
        <f t="shared" si="7"/>
        <v>48061401.226405986</v>
      </c>
      <c r="H69" s="124"/>
      <c r="I69" s="187">
        <f>'FY 19 State Pmt'!BL68</f>
        <v>28050287.960000005</v>
      </c>
      <c r="J69" s="188">
        <f>'Prop Tax'!K67</f>
        <v>11946074.83254648</v>
      </c>
      <c r="K69" s="487">
        <f t="shared" si="8"/>
        <v>39996362.792546481</v>
      </c>
      <c r="L69" s="124"/>
      <c r="M69" s="471">
        <f t="shared" si="10"/>
        <v>13697965.413891781</v>
      </c>
      <c r="N69" s="511">
        <f t="shared" si="11"/>
        <v>34363435.812514201</v>
      </c>
      <c r="O69" s="427">
        <f t="shared" si="12"/>
        <v>-5632926.9800322801</v>
      </c>
      <c r="P69" s="124">
        <f>M69/ITA!B67*1000</f>
        <v>100.07613282089797</v>
      </c>
      <c r="Q69" s="481"/>
      <c r="R69" s="503">
        <f t="shared" si="13"/>
        <v>5632926.9800322801</v>
      </c>
      <c r="S69" s="504">
        <f t="shared" si="14"/>
        <v>39996362.792546481</v>
      </c>
      <c r="T69" s="505">
        <f t="shared" si="15"/>
        <v>0</v>
      </c>
      <c r="U69" s="422">
        <f t="shared" si="16"/>
        <v>0.83219302333972744</v>
      </c>
      <c r="V69" s="180">
        <f t="shared" si="17"/>
        <v>8065038.4338595048</v>
      </c>
      <c r="W69" s="124">
        <f>V69/ITA!B67*1000</f>
        <v>58.92246279830966</v>
      </c>
    </row>
    <row r="70" spans="1:23" x14ac:dyDescent="0.25">
      <c r="A70" s="125" t="s">
        <v>67</v>
      </c>
      <c r="B70" s="126">
        <v>15618.17</v>
      </c>
      <c r="C70" s="515">
        <v>1.8679451612254167E-2</v>
      </c>
      <c r="D70" s="190">
        <f>'Total Inst. Cost'!G68</f>
        <v>91978010.13056688</v>
      </c>
      <c r="E70" s="191">
        <f>Facilities!J78</f>
        <v>21631567.952527069</v>
      </c>
      <c r="F70" s="192">
        <f>'District Services'!K77</f>
        <v>3872610.0483937324</v>
      </c>
      <c r="G70" s="491">
        <f t="shared" si="7"/>
        <v>117482188.13148767</v>
      </c>
      <c r="H70" s="134"/>
      <c r="I70" s="190">
        <f>'FY 19 State Pmt'!BL69</f>
        <v>64731147.499999993</v>
      </c>
      <c r="J70" s="191">
        <f>'Prop Tax'!K68</f>
        <v>22901317.521250933</v>
      </c>
      <c r="K70" s="488">
        <f t="shared" si="8"/>
        <v>87632465.021250933</v>
      </c>
      <c r="L70" s="134"/>
      <c r="M70" s="469">
        <f t="shared" si="10"/>
        <v>30606602.743326668</v>
      </c>
      <c r="N70" s="510">
        <f t="shared" si="11"/>
        <v>86875585.388161004</v>
      </c>
      <c r="O70" s="426">
        <f t="shared" si="12"/>
        <v>-756879.63308992982</v>
      </c>
      <c r="P70" s="134">
        <f>M70/ITA!B68*1000</f>
        <v>100.076132820898</v>
      </c>
      <c r="Q70" s="480"/>
      <c r="R70" s="500">
        <f t="shared" si="13"/>
        <v>756879.63308992982</v>
      </c>
      <c r="S70" s="501">
        <f t="shared" si="14"/>
        <v>87632465.021250933</v>
      </c>
      <c r="T70" s="502">
        <f t="shared" si="15"/>
        <v>0</v>
      </c>
      <c r="U70" s="421">
        <f t="shared" si="16"/>
        <v>0.74592128743100594</v>
      </c>
      <c r="V70" s="181">
        <f t="shared" si="17"/>
        <v>29849723.110236734</v>
      </c>
      <c r="W70" s="134">
        <f>V70/ITA!B68*1000</f>
        <v>97.60132085546168</v>
      </c>
    </row>
    <row r="71" spans="1:23" x14ac:dyDescent="0.25">
      <c r="A71" s="123" t="s">
        <v>68</v>
      </c>
      <c r="B71" s="47">
        <v>22502.1</v>
      </c>
      <c r="C71" s="516">
        <v>3.8279486424848096E-2</v>
      </c>
      <c r="D71" s="187">
        <f>'Total Inst. Cost'!G69</f>
        <v>138654029.90113798</v>
      </c>
      <c r="E71" s="188">
        <f>Facilities!J79</f>
        <v>32271398.274873096</v>
      </c>
      <c r="F71" s="189">
        <f>'District Services'!K78</f>
        <v>4205746.9713399913</v>
      </c>
      <c r="G71" s="490">
        <f t="shared" si="7"/>
        <v>175131175.14735109</v>
      </c>
      <c r="H71" s="124"/>
      <c r="I71" s="187">
        <f>'FY 19 State Pmt'!BL70</f>
        <v>94439163.089999989</v>
      </c>
      <c r="J71" s="188">
        <f>'Prop Tax'!K69</f>
        <v>59859178.193128958</v>
      </c>
      <c r="K71" s="487">
        <f t="shared" si="8"/>
        <v>154298341.28312895</v>
      </c>
      <c r="L71" s="124"/>
      <c r="M71" s="471">
        <f t="shared" ref="M71:M87" si="18">C71*($G$88*$M$6)</f>
        <v>62721596.893952213</v>
      </c>
      <c r="N71" s="511">
        <f t="shared" ref="N71:N87" si="19">G71-M71</f>
        <v>112409578.25339887</v>
      </c>
      <c r="O71" s="427">
        <f t="shared" ref="O71:O87" si="20">N71-K71</f>
        <v>-41888763.029730082</v>
      </c>
      <c r="P71" s="124">
        <f>M71/ITA!B69*1000</f>
        <v>100.07613282089798</v>
      </c>
      <c r="Q71" s="481"/>
      <c r="R71" s="503">
        <f t="shared" ref="R71:R87" si="21">IF(O71&lt;0,K71-N71,0)</f>
        <v>41888763.029730082</v>
      </c>
      <c r="S71" s="504">
        <f t="shared" ref="S71:S87" si="22">R71+N71</f>
        <v>154298341.28312895</v>
      </c>
      <c r="T71" s="505">
        <f t="shared" ref="T71:T87" si="23">S71-K71</f>
        <v>0</v>
      </c>
      <c r="U71" s="422">
        <f t="shared" ref="U71:U88" si="24">S71/G71</f>
        <v>0.88104440088011804</v>
      </c>
      <c r="V71" s="180">
        <f t="shared" ref="V71:V87" si="25">G71-S71</f>
        <v>20832833.864222139</v>
      </c>
      <c r="W71" s="124">
        <f>V71/ITA!B69*1000</f>
        <v>33.240056887528404</v>
      </c>
    </row>
    <row r="72" spans="1:23" x14ac:dyDescent="0.25">
      <c r="A72" s="125" t="s">
        <v>69</v>
      </c>
      <c r="B72" s="126">
        <v>27586.57</v>
      </c>
      <c r="C72" s="515">
        <v>1.8937980333395193E-2</v>
      </c>
      <c r="D72" s="190">
        <f>'Total Inst. Cost'!G70</f>
        <v>160070963.90505502</v>
      </c>
      <c r="E72" s="191">
        <f>Facilities!J80</f>
        <v>37843261.77313</v>
      </c>
      <c r="F72" s="192">
        <f>'District Services'!K79</f>
        <v>4354236.8594544223</v>
      </c>
      <c r="G72" s="491">
        <f t="shared" ref="G72:G87" si="26">SUM(D72:F72)</f>
        <v>202268462.53763944</v>
      </c>
      <c r="H72" s="134"/>
      <c r="I72" s="190">
        <f>'FY 19 State Pmt'!BL71</f>
        <v>131416739.18999998</v>
      </c>
      <c r="J72" s="191">
        <f>'Prop Tax'!K70</f>
        <v>53590007.718857341</v>
      </c>
      <c r="K72" s="488">
        <f t="shared" ref="K72:K87" si="27">I72+J72</f>
        <v>185006746.90885732</v>
      </c>
      <c r="L72" s="134"/>
      <c r="M72" s="469">
        <f t="shared" si="18"/>
        <v>31030206.499472953</v>
      </c>
      <c r="N72" s="510">
        <f t="shared" si="19"/>
        <v>171238256.03816649</v>
      </c>
      <c r="O72" s="426">
        <f t="shared" si="20"/>
        <v>-13768490.870690823</v>
      </c>
      <c r="P72" s="134">
        <f>M72/ITA!B70*1000</f>
        <v>100.07613282089798</v>
      </c>
      <c r="Q72" s="480"/>
      <c r="R72" s="500">
        <f t="shared" si="21"/>
        <v>13768490.870690823</v>
      </c>
      <c r="S72" s="501">
        <f t="shared" si="22"/>
        <v>185006746.90885732</v>
      </c>
      <c r="T72" s="502">
        <f t="shared" si="23"/>
        <v>0</v>
      </c>
      <c r="U72" s="421">
        <f t="shared" si="24"/>
        <v>0.91465938183235085</v>
      </c>
      <c r="V72" s="181">
        <f t="shared" si="25"/>
        <v>17261715.628782123</v>
      </c>
      <c r="W72" s="134">
        <f>V72/ITA!B70*1000</f>
        <v>55.671100545589724</v>
      </c>
    </row>
    <row r="73" spans="1:23" x14ac:dyDescent="0.25">
      <c r="A73" s="123" t="s">
        <v>70</v>
      </c>
      <c r="B73" s="47">
        <v>2197.3200000000002</v>
      </c>
      <c r="C73" s="516">
        <v>1.9884838235910748E-3</v>
      </c>
      <c r="D73" s="187">
        <f>'Total Inst. Cost'!G71</f>
        <v>14115630.830331624</v>
      </c>
      <c r="E73" s="188">
        <f>Facilities!J81</f>
        <v>3220078.7748957039</v>
      </c>
      <c r="F73" s="189">
        <f>'District Services'!K80</f>
        <v>1210825.467771299</v>
      </c>
      <c r="G73" s="492">
        <f t="shared" si="26"/>
        <v>18546535.072998628</v>
      </c>
      <c r="H73" s="124"/>
      <c r="I73" s="187">
        <f>'FY 19 State Pmt'!BL72</f>
        <v>11322676.370000001</v>
      </c>
      <c r="J73" s="188">
        <f>'Prop Tax'!K71</f>
        <v>3432164.1648954973</v>
      </c>
      <c r="K73" s="487">
        <f t="shared" si="27"/>
        <v>14754840.534895498</v>
      </c>
      <c r="L73" s="124"/>
      <c r="M73" s="471">
        <f t="shared" si="18"/>
        <v>3258164.9458197793</v>
      </c>
      <c r="N73" s="511">
        <f t="shared" si="19"/>
        <v>15288370.127178848</v>
      </c>
      <c r="O73" s="427">
        <f t="shared" si="20"/>
        <v>533529.59228334948</v>
      </c>
      <c r="P73" s="124">
        <f>M73/ITA!B71*1000</f>
        <v>100.07613282089798</v>
      </c>
      <c r="Q73" s="481"/>
      <c r="R73" s="503">
        <f t="shared" si="21"/>
        <v>0</v>
      </c>
      <c r="S73" s="504">
        <f t="shared" si="22"/>
        <v>15288370.127178848</v>
      </c>
      <c r="T73" s="505">
        <f t="shared" si="23"/>
        <v>533529.59228334948</v>
      </c>
      <c r="U73" s="422">
        <f t="shared" si="24"/>
        <v>0.82432487076449934</v>
      </c>
      <c r="V73" s="180">
        <f t="shared" si="25"/>
        <v>3258164.9458197802</v>
      </c>
      <c r="W73" s="124">
        <f>V73/ITA!B71*1000</f>
        <v>100.07613282089801</v>
      </c>
    </row>
    <row r="74" spans="1:23" x14ac:dyDescent="0.25">
      <c r="A74" s="125" t="s">
        <v>71</v>
      </c>
      <c r="B74" s="126">
        <v>4904.8</v>
      </c>
      <c r="C74" s="515">
        <v>3.2904090954301987E-3</v>
      </c>
      <c r="D74" s="190">
        <f>'Total Inst. Cost'!G72</f>
        <v>28507579.743300911</v>
      </c>
      <c r="E74" s="191">
        <f>Facilities!J82</f>
        <v>6697040.8070405433</v>
      </c>
      <c r="F74" s="192">
        <f>'District Services'!K81</f>
        <v>1311653.6540530578</v>
      </c>
      <c r="G74" s="491">
        <f t="shared" si="26"/>
        <v>36516274.204394512</v>
      </c>
      <c r="H74" s="134"/>
      <c r="I74" s="190">
        <f>'FY 19 State Pmt'!BL73</f>
        <v>22728219.179999996</v>
      </c>
      <c r="J74" s="191">
        <f>'Prop Tax'!K72</f>
        <v>11292735.187522516</v>
      </c>
      <c r="K74" s="488">
        <f t="shared" si="27"/>
        <v>34020954.367522508</v>
      </c>
      <c r="L74" s="134"/>
      <c r="M74" s="469">
        <f t="shared" si="18"/>
        <v>5391391.8961514868</v>
      </c>
      <c r="N74" s="510">
        <f t="shared" si="19"/>
        <v>31124882.308243025</v>
      </c>
      <c r="O74" s="426">
        <f t="shared" si="20"/>
        <v>-2896072.0592794828</v>
      </c>
      <c r="P74" s="134">
        <f>M74/ITA!B72*1000</f>
        <v>100.07613282089798</v>
      </c>
      <c r="Q74" s="480"/>
      <c r="R74" s="500">
        <f t="shared" si="21"/>
        <v>2896072.0592794828</v>
      </c>
      <c r="S74" s="501">
        <f t="shared" si="22"/>
        <v>34020954.367522508</v>
      </c>
      <c r="T74" s="502">
        <f t="shared" si="23"/>
        <v>0</v>
      </c>
      <c r="U74" s="421">
        <f t="shared" si="24"/>
        <v>0.93166554115283462</v>
      </c>
      <c r="V74" s="181">
        <f t="shared" si="25"/>
        <v>2495319.836872004</v>
      </c>
      <c r="W74" s="134">
        <f>V74/ITA!B72*1000</f>
        <v>46.31864354058218</v>
      </c>
    </row>
    <row r="75" spans="1:23" x14ac:dyDescent="0.25">
      <c r="A75" s="123" t="s">
        <v>72</v>
      </c>
      <c r="B75" s="47">
        <v>9921.15</v>
      </c>
      <c r="C75" s="516">
        <v>7.1412919112442208E-3</v>
      </c>
      <c r="D75" s="187">
        <f>'Total Inst. Cost'!G73</f>
        <v>58162454.87617638</v>
      </c>
      <c r="E75" s="188">
        <f>Facilities!J83</f>
        <v>13723362.632142251</v>
      </c>
      <c r="F75" s="189">
        <f>'District Services'!K82</f>
        <v>2579291.9625073913</v>
      </c>
      <c r="G75" s="490">
        <f t="shared" si="26"/>
        <v>74465109.47082603</v>
      </c>
      <c r="H75" s="124"/>
      <c r="I75" s="187">
        <f>'FY 19 State Pmt'!BL74</f>
        <v>44964591.739999995</v>
      </c>
      <c r="J75" s="188">
        <f>'Prop Tax'!K73</f>
        <v>17310919.055340253</v>
      </c>
      <c r="K75" s="487">
        <f t="shared" si="27"/>
        <v>62275510.795340247</v>
      </c>
      <c r="L75" s="124"/>
      <c r="M75" s="471">
        <f t="shared" si="18"/>
        <v>11701129.623002226</v>
      </c>
      <c r="N75" s="511">
        <f t="shared" si="19"/>
        <v>62763979.847823806</v>
      </c>
      <c r="O75" s="427">
        <f t="shared" si="20"/>
        <v>488469.05248355865</v>
      </c>
      <c r="P75" s="124">
        <f>M75/ITA!B73*1000</f>
        <v>100.076132820898</v>
      </c>
      <c r="Q75" s="481"/>
      <c r="R75" s="503">
        <f t="shared" si="21"/>
        <v>0</v>
      </c>
      <c r="S75" s="504">
        <f t="shared" si="22"/>
        <v>62763979.847823806</v>
      </c>
      <c r="T75" s="505">
        <f t="shared" si="23"/>
        <v>488469.05248355865</v>
      </c>
      <c r="U75" s="422">
        <f t="shared" si="24"/>
        <v>0.8428642661488801</v>
      </c>
      <c r="V75" s="180">
        <f t="shared" si="25"/>
        <v>11701129.623002224</v>
      </c>
      <c r="W75" s="124">
        <f>V75/ITA!B73*1000</f>
        <v>100.07613282089798</v>
      </c>
    </row>
    <row r="76" spans="1:23" x14ac:dyDescent="0.25">
      <c r="A76" s="125" t="s">
        <v>73</v>
      </c>
      <c r="B76" s="126">
        <v>2737.16</v>
      </c>
      <c r="C76" s="515">
        <v>3.0188340893884868E-3</v>
      </c>
      <c r="D76" s="190">
        <f>'Total Inst. Cost'!G74</f>
        <v>16916675.618235309</v>
      </c>
      <c r="E76" s="191">
        <f>Facilities!J84</f>
        <v>3938448.5102745676</v>
      </c>
      <c r="F76" s="192">
        <f>'District Services'!K83</f>
        <v>1232000.521468305</v>
      </c>
      <c r="G76" s="491">
        <f t="shared" si="26"/>
        <v>22087124.649978179</v>
      </c>
      <c r="H76" s="134"/>
      <c r="I76" s="190">
        <f>'FY 19 State Pmt'!BL75</f>
        <v>13270798.720000003</v>
      </c>
      <c r="J76" s="191">
        <f>'Prop Tax'!K74</f>
        <v>6106575.3989446247</v>
      </c>
      <c r="K76" s="488">
        <f t="shared" si="27"/>
        <v>19377374.118944626</v>
      </c>
      <c r="L76" s="134"/>
      <c r="M76" s="469">
        <f t="shared" si="18"/>
        <v>4946411.5778062548</v>
      </c>
      <c r="N76" s="510">
        <f t="shared" si="19"/>
        <v>17140713.072171926</v>
      </c>
      <c r="O76" s="426">
        <f t="shared" si="20"/>
        <v>-2236661.0467726998</v>
      </c>
      <c r="P76" s="134">
        <f>M76/ITA!B74*1000</f>
        <v>100.07613282089798</v>
      </c>
      <c r="Q76" s="480"/>
      <c r="R76" s="500">
        <f t="shared" si="21"/>
        <v>2236661.0467726998</v>
      </c>
      <c r="S76" s="501">
        <f t="shared" si="22"/>
        <v>19377374.118944626</v>
      </c>
      <c r="T76" s="502">
        <f t="shared" si="23"/>
        <v>0</v>
      </c>
      <c r="U76" s="421">
        <f t="shared" si="24"/>
        <v>0.87731537834933937</v>
      </c>
      <c r="V76" s="181">
        <f t="shared" si="25"/>
        <v>2709750.5310335532</v>
      </c>
      <c r="W76" s="134">
        <f>V76/ITA!B74*1000</f>
        <v>54.823855595025577</v>
      </c>
    </row>
    <row r="77" spans="1:23" x14ac:dyDescent="0.25">
      <c r="A77" s="123" t="s">
        <v>74</v>
      </c>
      <c r="B77" s="47">
        <v>2669.43</v>
      </c>
      <c r="C77" s="516">
        <v>1.9755154732677767E-3</v>
      </c>
      <c r="D77" s="187">
        <f>'Total Inst. Cost'!G75</f>
        <v>16197562.658636674</v>
      </c>
      <c r="E77" s="188">
        <f>Facilities!J85</f>
        <v>3791095.6506472537</v>
      </c>
      <c r="F77" s="189">
        <f>'District Services'!K84</f>
        <v>1226902.3142279794</v>
      </c>
      <c r="G77" s="492">
        <f t="shared" si="26"/>
        <v>21215560.623511907</v>
      </c>
      <c r="H77" s="124"/>
      <c r="I77" s="187">
        <f>'FY 19 State Pmt'!BL76</f>
        <v>12879667.939999999</v>
      </c>
      <c r="J77" s="188">
        <f>'Prop Tax'!K75</f>
        <v>4278581.9397553345</v>
      </c>
      <c r="K77" s="487">
        <f t="shared" si="27"/>
        <v>17158249.879755333</v>
      </c>
      <c r="L77" s="124"/>
      <c r="M77" s="471">
        <f t="shared" si="18"/>
        <v>3236916.0807663165</v>
      </c>
      <c r="N77" s="511">
        <f t="shared" si="19"/>
        <v>17978644.54274559</v>
      </c>
      <c r="O77" s="427">
        <f t="shared" si="20"/>
        <v>820394.66299025714</v>
      </c>
      <c r="P77" s="124">
        <f>M77/ITA!B75*1000</f>
        <v>100.07613282089798</v>
      </c>
      <c r="Q77" s="481"/>
      <c r="R77" s="503">
        <f t="shared" si="21"/>
        <v>0</v>
      </c>
      <c r="S77" s="504">
        <f t="shared" si="22"/>
        <v>17978644.54274559</v>
      </c>
      <c r="T77" s="505">
        <f t="shared" si="23"/>
        <v>820394.66299025714</v>
      </c>
      <c r="U77" s="422">
        <f t="shared" si="24"/>
        <v>0.84742726632549881</v>
      </c>
      <c r="V77" s="180">
        <f t="shared" si="25"/>
        <v>3236916.0807663165</v>
      </c>
      <c r="W77" s="124">
        <f>V77/ITA!B75*1000</f>
        <v>100.07613282089798</v>
      </c>
    </row>
    <row r="78" spans="1:23" x14ac:dyDescent="0.25">
      <c r="A78" s="125" t="s">
        <v>75</v>
      </c>
      <c r="B78" s="126">
        <v>8533.4500000000007</v>
      </c>
      <c r="C78" s="515">
        <v>1.284812011328567E-2</v>
      </c>
      <c r="D78" s="190">
        <f>'Total Inst. Cost'!G76</f>
        <v>49667500.700819165</v>
      </c>
      <c r="E78" s="191">
        <f>Facilities!J86</f>
        <v>11785458.847338295</v>
      </c>
      <c r="F78" s="192">
        <f>'District Services'!K85</f>
        <v>2219280.518940018</v>
      </c>
      <c r="G78" s="491">
        <f t="shared" si="26"/>
        <v>63672240.067097478</v>
      </c>
      <c r="H78" s="134"/>
      <c r="I78" s="190">
        <f>'FY 19 State Pmt'!BL77</f>
        <v>33827597.670000009</v>
      </c>
      <c r="J78" s="191">
        <f>'Prop Tax'!K76</f>
        <v>15283691.607939929</v>
      </c>
      <c r="K78" s="488">
        <f t="shared" si="27"/>
        <v>49111289.277939938</v>
      </c>
      <c r="L78" s="134"/>
      <c r="M78" s="469">
        <f t="shared" si="18"/>
        <v>21051865.786461666</v>
      </c>
      <c r="N78" s="510">
        <f t="shared" si="19"/>
        <v>42620374.280635811</v>
      </c>
      <c r="O78" s="426">
        <f t="shared" si="20"/>
        <v>-6490914.9973041266</v>
      </c>
      <c r="P78" s="134">
        <f>M78/ITA!B76*1000</f>
        <v>100.07613282089798</v>
      </c>
      <c r="Q78" s="480"/>
      <c r="R78" s="500">
        <f t="shared" si="21"/>
        <v>6490914.9973041266</v>
      </c>
      <c r="S78" s="501">
        <f t="shared" si="22"/>
        <v>49111289.277939938</v>
      </c>
      <c r="T78" s="502">
        <f t="shared" si="23"/>
        <v>0</v>
      </c>
      <c r="U78" s="421">
        <f t="shared" si="24"/>
        <v>0.77131398590950651</v>
      </c>
      <c r="V78" s="181">
        <f t="shared" si="25"/>
        <v>14560950.78915754</v>
      </c>
      <c r="W78" s="134">
        <f>V78/ITA!B76*1000</f>
        <v>69.219691021942992</v>
      </c>
    </row>
    <row r="79" spans="1:23" x14ac:dyDescent="0.25">
      <c r="A79" s="123" t="s">
        <v>76</v>
      </c>
      <c r="B79" s="47">
        <v>10966.62</v>
      </c>
      <c r="C79" s="516">
        <v>1.1539723645201585E-2</v>
      </c>
      <c r="D79" s="187">
        <f>'Total Inst. Cost'!G77</f>
        <v>67189240.106866941</v>
      </c>
      <c r="E79" s="188">
        <f>Facilities!J87</f>
        <v>15567826.260324059</v>
      </c>
      <c r="F79" s="189">
        <f>'District Services'!K86</f>
        <v>3092165.6986981137</v>
      </c>
      <c r="G79" s="490">
        <f t="shared" si="26"/>
        <v>85849232.06588912</v>
      </c>
      <c r="H79" s="124"/>
      <c r="I79" s="187">
        <f>'FY 19 State Pmt'!BL78</f>
        <v>50435630.910000011</v>
      </c>
      <c r="J79" s="188">
        <f>'Prop Tax'!K77</f>
        <v>17428871.123002939</v>
      </c>
      <c r="K79" s="487">
        <f t="shared" si="27"/>
        <v>67864502.033002943</v>
      </c>
      <c r="L79" s="124"/>
      <c r="M79" s="471">
        <f t="shared" si="18"/>
        <v>18908035.66978145</v>
      </c>
      <c r="N79" s="511">
        <f t="shared" si="19"/>
        <v>66941196.396107674</v>
      </c>
      <c r="O79" s="427">
        <f t="shared" si="20"/>
        <v>-923305.63689526916</v>
      </c>
      <c r="P79" s="124">
        <f>M79/ITA!B77*1000</f>
        <v>100.07613282089797</v>
      </c>
      <c r="Q79" s="481"/>
      <c r="R79" s="503">
        <f t="shared" si="21"/>
        <v>923305.63689526916</v>
      </c>
      <c r="S79" s="504">
        <f t="shared" si="22"/>
        <v>67864502.033002943</v>
      </c>
      <c r="T79" s="505">
        <f t="shared" si="23"/>
        <v>0</v>
      </c>
      <c r="U79" s="422">
        <f t="shared" si="24"/>
        <v>0.79050796844539117</v>
      </c>
      <c r="V79" s="180">
        <f t="shared" si="25"/>
        <v>17984730.032886177</v>
      </c>
      <c r="W79" s="124">
        <f>V79/ITA!B77*1000</f>
        <v>95.189276292491442</v>
      </c>
    </row>
    <row r="80" spans="1:23" x14ac:dyDescent="0.25">
      <c r="A80" s="125" t="s">
        <v>77</v>
      </c>
      <c r="B80" s="126">
        <v>7107.44</v>
      </c>
      <c r="C80" s="515">
        <v>9.4814763426312627E-3</v>
      </c>
      <c r="D80" s="190">
        <f>'Total Inst. Cost'!G78</f>
        <v>42364955.552934125</v>
      </c>
      <c r="E80" s="191">
        <f>Facilities!J88</f>
        <v>9988089.7917533983</v>
      </c>
      <c r="F80" s="192">
        <f>'District Services'!K87</f>
        <v>1715095.1184004669</v>
      </c>
      <c r="G80" s="491">
        <f t="shared" si="26"/>
        <v>54068140.463087991</v>
      </c>
      <c r="H80" s="134"/>
      <c r="I80" s="190">
        <f>'FY 19 State Pmt'!BL79</f>
        <v>30705837.949999996</v>
      </c>
      <c r="J80" s="191">
        <f>'Prop Tax'!K78</f>
        <v>16630543.368527502</v>
      </c>
      <c r="K80" s="488">
        <f t="shared" si="27"/>
        <v>47336381.318527497</v>
      </c>
      <c r="L80" s="134"/>
      <c r="M80" s="469">
        <f t="shared" si="18"/>
        <v>15535562.063759383</v>
      </c>
      <c r="N80" s="510">
        <f t="shared" si="19"/>
        <v>38532578.399328604</v>
      </c>
      <c r="O80" s="426">
        <f t="shared" si="20"/>
        <v>-8803802.919198893</v>
      </c>
      <c r="P80" s="134">
        <f>M80/ITA!B78*1000</f>
        <v>100.07613282089797</v>
      </c>
      <c r="Q80" s="480"/>
      <c r="R80" s="500">
        <f t="shared" si="21"/>
        <v>8803802.919198893</v>
      </c>
      <c r="S80" s="501">
        <f t="shared" si="22"/>
        <v>47336381.318527497</v>
      </c>
      <c r="T80" s="502">
        <f t="shared" si="23"/>
        <v>0</v>
      </c>
      <c r="U80" s="421">
        <f t="shared" si="24"/>
        <v>0.8754949016758542</v>
      </c>
      <c r="V80" s="181">
        <f t="shared" si="25"/>
        <v>6731759.1445604935</v>
      </c>
      <c r="W80" s="134">
        <f>V80/ITA!B78*1000</f>
        <v>43.364277359547785</v>
      </c>
    </row>
    <row r="81" spans="1:24" x14ac:dyDescent="0.25">
      <c r="A81" s="123" t="s">
        <v>78</v>
      </c>
      <c r="B81" s="47">
        <v>15888.61</v>
      </c>
      <c r="C81" s="516">
        <v>1.2164867429038082E-2</v>
      </c>
      <c r="D81" s="187">
        <f>'Total Inst. Cost'!G79</f>
        <v>98307537.191798344</v>
      </c>
      <c r="E81" s="188">
        <f>Facilities!J89</f>
        <v>22841286.039309006</v>
      </c>
      <c r="F81" s="189">
        <f>'District Services'!K88</f>
        <v>3919477.323274327</v>
      </c>
      <c r="G81" s="492">
        <f t="shared" si="26"/>
        <v>125068300.55438168</v>
      </c>
      <c r="H81" s="124"/>
      <c r="I81" s="187">
        <f>'FY 19 State Pmt'!BL80</f>
        <v>77764909.240000024</v>
      </c>
      <c r="J81" s="188">
        <f>'Prop Tax'!K79</f>
        <v>20901974.990587439</v>
      </c>
      <c r="K81" s="487">
        <f t="shared" si="27"/>
        <v>98666884.230587468</v>
      </c>
      <c r="L81" s="124"/>
      <c r="M81" s="471">
        <f t="shared" si="18"/>
        <v>19932344.511738658</v>
      </c>
      <c r="N81" s="511">
        <f t="shared" si="19"/>
        <v>105135956.04264303</v>
      </c>
      <c r="O81" s="427">
        <f t="shared" si="20"/>
        <v>6469071.812055558</v>
      </c>
      <c r="P81" s="124">
        <f>M81/ITA!B79*1000</f>
        <v>100.07613282089798</v>
      </c>
      <c r="Q81" s="481"/>
      <c r="R81" s="503">
        <f t="shared" si="21"/>
        <v>0</v>
      </c>
      <c r="S81" s="504">
        <f t="shared" si="22"/>
        <v>105135956.04264303</v>
      </c>
      <c r="T81" s="505">
        <f t="shared" si="23"/>
        <v>6469071.812055558</v>
      </c>
      <c r="U81" s="422">
        <f t="shared" si="24"/>
        <v>0.84062832529597087</v>
      </c>
      <c r="V81" s="180">
        <f t="shared" si="25"/>
        <v>19932344.511738658</v>
      </c>
      <c r="W81" s="124">
        <f>V81/ITA!B79*1000</f>
        <v>100.07613282089798</v>
      </c>
    </row>
    <row r="82" spans="1:24" x14ac:dyDescent="0.25">
      <c r="A82" s="125" t="s">
        <v>79</v>
      </c>
      <c r="B82" s="126">
        <v>3787.02</v>
      </c>
      <c r="C82" s="515">
        <v>3.2362466407739551E-3</v>
      </c>
      <c r="D82" s="190">
        <f>'Total Inst. Cost'!G80</f>
        <v>23611644.233587757</v>
      </c>
      <c r="E82" s="191">
        <f>Facilities!J90</f>
        <v>5487591.2165351296</v>
      </c>
      <c r="F82" s="192">
        <f>'District Services'!K89</f>
        <v>1279669.8103043248</v>
      </c>
      <c r="G82" s="491">
        <f t="shared" si="26"/>
        <v>30378905.26042721</v>
      </c>
      <c r="H82" s="134"/>
      <c r="I82" s="190">
        <f>'FY 19 State Pmt'!BL81</f>
        <v>18576654.430000003</v>
      </c>
      <c r="J82" s="191">
        <f>'Prop Tax'!K80</f>
        <v>5640943.2722596163</v>
      </c>
      <c r="K82" s="488">
        <f t="shared" si="27"/>
        <v>24217597.702259619</v>
      </c>
      <c r="L82" s="134"/>
      <c r="M82" s="469">
        <f t="shared" si="18"/>
        <v>5302645.7826317735</v>
      </c>
      <c r="N82" s="510">
        <f t="shared" si="19"/>
        <v>25076259.477795437</v>
      </c>
      <c r="O82" s="426">
        <f t="shared" si="20"/>
        <v>858661.77553581819</v>
      </c>
      <c r="P82" s="134">
        <f>M82/ITA!B80*1000</f>
        <v>100.07613282089798</v>
      </c>
      <c r="Q82" s="480"/>
      <c r="R82" s="500">
        <f t="shared" si="21"/>
        <v>0</v>
      </c>
      <c r="S82" s="501">
        <f t="shared" si="22"/>
        <v>25076259.477795437</v>
      </c>
      <c r="T82" s="502">
        <f t="shared" si="23"/>
        <v>858661.77553581819</v>
      </c>
      <c r="U82" s="421">
        <f t="shared" si="24"/>
        <v>0.8254497409576107</v>
      </c>
      <c r="V82" s="181">
        <f t="shared" si="25"/>
        <v>5302645.7826317735</v>
      </c>
      <c r="W82" s="134">
        <f>V82/ITA!B80*1000</f>
        <v>100.07613282089798</v>
      </c>
    </row>
    <row r="83" spans="1:24" x14ac:dyDescent="0.25">
      <c r="A83" s="123" t="s">
        <v>80</v>
      </c>
      <c r="B83" s="47">
        <v>3426.1</v>
      </c>
      <c r="C83" s="516">
        <v>4.6326639230576819E-3</v>
      </c>
      <c r="D83" s="187">
        <f>'Total Inst. Cost'!G81</f>
        <v>22116081.577916391</v>
      </c>
      <c r="E83" s="188">
        <f>Facilities!J91</f>
        <v>5134117.0954227988</v>
      </c>
      <c r="F83" s="189">
        <f>'District Services'!K90</f>
        <v>1270923.1127461456</v>
      </c>
      <c r="G83" s="490">
        <f t="shared" si="26"/>
        <v>28521121.786085334</v>
      </c>
      <c r="H83" s="124"/>
      <c r="I83" s="187">
        <f>'FY 19 State Pmt'!BL82</f>
        <v>16529167.569999995</v>
      </c>
      <c r="J83" s="188">
        <f>'Prop Tax'!K81</f>
        <v>5071592.2534352848</v>
      </c>
      <c r="K83" s="487">
        <f t="shared" si="27"/>
        <v>21600759.82343528</v>
      </c>
      <c r="L83" s="124"/>
      <c r="M83" s="471">
        <f t="shared" si="18"/>
        <v>7590699.5172893628</v>
      </c>
      <c r="N83" s="511">
        <f t="shared" si="19"/>
        <v>20930422.268795971</v>
      </c>
      <c r="O83" s="427">
        <f t="shared" si="20"/>
        <v>-670337.55463930964</v>
      </c>
      <c r="P83" s="124">
        <f>M83/ITA!B81*1000</f>
        <v>100.07613282089797</v>
      </c>
      <c r="Q83" s="481"/>
      <c r="R83" s="503">
        <f t="shared" si="21"/>
        <v>670337.55463930964</v>
      </c>
      <c r="S83" s="504">
        <f t="shared" si="22"/>
        <v>21600759.82343528</v>
      </c>
      <c r="T83" s="505">
        <f t="shared" si="23"/>
        <v>0</v>
      </c>
      <c r="U83" s="422">
        <f t="shared" si="24"/>
        <v>0.75736010615030203</v>
      </c>
      <c r="V83" s="180">
        <f t="shared" si="25"/>
        <v>6920361.9626500532</v>
      </c>
      <c r="W83" s="124">
        <f>V83/ITA!B81*1000</f>
        <v>91.238371557904983</v>
      </c>
    </row>
    <row r="84" spans="1:24" x14ac:dyDescent="0.25">
      <c r="A84" s="125" t="s">
        <v>81</v>
      </c>
      <c r="B84" s="126">
        <v>4956.4399999999996</v>
      </c>
      <c r="C84" s="515">
        <v>3.8046201543972895E-3</v>
      </c>
      <c r="D84" s="190">
        <f>'Total Inst. Cost'!G82</f>
        <v>30816540.640512552</v>
      </c>
      <c r="E84" s="191">
        <f>Facilities!J92</f>
        <v>7173516.0136201829</v>
      </c>
      <c r="F84" s="192">
        <f>'District Services'!K91</f>
        <v>1331076.6062947845</v>
      </c>
      <c r="G84" s="491">
        <f t="shared" si="26"/>
        <v>39321133.26042752</v>
      </c>
      <c r="H84" s="134"/>
      <c r="I84" s="190">
        <f>'FY 19 State Pmt'!BL83</f>
        <v>25486416.130000003</v>
      </c>
      <c r="J84" s="191">
        <f>'Prop Tax'!K82</f>
        <v>7384810.4567388752</v>
      </c>
      <c r="K84" s="488">
        <f t="shared" si="27"/>
        <v>32871226.586738877</v>
      </c>
      <c r="L84" s="134"/>
      <c r="M84" s="469">
        <f t="shared" si="18"/>
        <v>6233935.5604262128</v>
      </c>
      <c r="N84" s="510">
        <f t="shared" si="19"/>
        <v>33087197.700001307</v>
      </c>
      <c r="O84" s="426">
        <f t="shared" si="20"/>
        <v>215971.11326242983</v>
      </c>
      <c r="P84" s="134">
        <f>M84/ITA!B82*1000</f>
        <v>100.07613282089798</v>
      </c>
      <c r="Q84" s="480"/>
      <c r="R84" s="500">
        <f t="shared" si="21"/>
        <v>0</v>
      </c>
      <c r="S84" s="501">
        <f t="shared" si="22"/>
        <v>33087197.700001307</v>
      </c>
      <c r="T84" s="502">
        <f t="shared" si="23"/>
        <v>215971.11326242983</v>
      </c>
      <c r="U84" s="421">
        <f t="shared" si="24"/>
        <v>0.84146093859659954</v>
      </c>
      <c r="V84" s="181">
        <f t="shared" si="25"/>
        <v>6233935.5604262128</v>
      </c>
      <c r="W84" s="134">
        <f>V84/ITA!B82*1000</f>
        <v>100.07613282089798</v>
      </c>
    </row>
    <row r="85" spans="1:24" x14ac:dyDescent="0.25">
      <c r="A85" s="123" t="s">
        <v>82</v>
      </c>
      <c r="B85" s="47">
        <v>7694.47</v>
      </c>
      <c r="C85" s="516">
        <v>1.4482174336249929E-2</v>
      </c>
      <c r="D85" s="187">
        <f>'Total Inst. Cost'!G83</f>
        <v>41519939.675881289</v>
      </c>
      <c r="E85" s="188">
        <f>Facilities!J93</f>
        <v>9993086.3751662951</v>
      </c>
      <c r="F85" s="189">
        <f>'District Services'!K92</f>
        <v>1705005.1236990951</v>
      </c>
      <c r="G85" s="492">
        <f t="shared" si="26"/>
        <v>53218031.174746677</v>
      </c>
      <c r="H85" s="124"/>
      <c r="I85" s="187">
        <f>'FY 19 State Pmt'!BL84</f>
        <v>26648832.299999993</v>
      </c>
      <c r="J85" s="188">
        <f>'Prop Tax'!K83</f>
        <v>12999621.307783056</v>
      </c>
      <c r="K85" s="487">
        <f t="shared" si="27"/>
        <v>39648453.607783049</v>
      </c>
      <c r="L85" s="124"/>
      <c r="M85" s="471">
        <f t="shared" si="18"/>
        <v>23729291.735653494</v>
      </c>
      <c r="N85" s="511">
        <f t="shared" si="19"/>
        <v>29488739.439093184</v>
      </c>
      <c r="O85" s="427">
        <f t="shared" si="20"/>
        <v>-10159714.168689866</v>
      </c>
      <c r="P85" s="124">
        <f>M85/ITA!B83*1000</f>
        <v>100.07613282089798</v>
      </c>
      <c r="Q85" s="481"/>
      <c r="R85" s="503">
        <f t="shared" si="21"/>
        <v>10159714.168689866</v>
      </c>
      <c r="S85" s="504">
        <f t="shared" si="22"/>
        <v>39648453.607783049</v>
      </c>
      <c r="T85" s="505">
        <f t="shared" si="23"/>
        <v>0</v>
      </c>
      <c r="U85" s="422">
        <f t="shared" si="24"/>
        <v>0.74501917362544712</v>
      </c>
      <c r="V85" s="180">
        <f t="shared" si="25"/>
        <v>13569577.566963628</v>
      </c>
      <c r="W85" s="124">
        <f>V85/ITA!B83*1000</f>
        <v>57.228461011102802</v>
      </c>
    </row>
    <row r="86" spans="1:24" x14ac:dyDescent="0.25">
      <c r="A86" s="125" t="s">
        <v>83</v>
      </c>
      <c r="B86" s="126">
        <v>17132.009999999998</v>
      </c>
      <c r="C86" s="515">
        <v>1.913798531740914E-2</v>
      </c>
      <c r="D86" s="190">
        <f>'Total Inst. Cost'!G84</f>
        <v>102172395.46003979</v>
      </c>
      <c r="E86" s="191">
        <f>Facilities!J94</f>
        <v>24032919.04081247</v>
      </c>
      <c r="F86" s="192">
        <f>'District Services'!K93</f>
        <v>3948496.2011807049</v>
      </c>
      <c r="G86" s="491">
        <f t="shared" si="26"/>
        <v>130153810.70203297</v>
      </c>
      <c r="H86" s="134"/>
      <c r="I86" s="190">
        <f>'FY 19 State Pmt'!BL85</f>
        <v>75177606.350000009</v>
      </c>
      <c r="J86" s="191">
        <f>'Prop Tax'!K84</f>
        <v>30717666.351034239</v>
      </c>
      <c r="K86" s="488">
        <f t="shared" si="27"/>
        <v>105895272.70103425</v>
      </c>
      <c r="L86" s="134"/>
      <c r="M86" s="469">
        <f t="shared" si="18"/>
        <v>31357918.105759319</v>
      </c>
      <c r="N86" s="510">
        <f t="shared" si="19"/>
        <v>98795892.596273646</v>
      </c>
      <c r="O86" s="426">
        <f t="shared" si="20"/>
        <v>-7099380.1047606021</v>
      </c>
      <c r="P86" s="134">
        <f>M86/ITA!B84*1000</f>
        <v>100.07613282089798</v>
      </c>
      <c r="Q86" s="480"/>
      <c r="R86" s="500">
        <f t="shared" si="21"/>
        <v>7099380.1047606021</v>
      </c>
      <c r="S86" s="501">
        <f t="shared" si="22"/>
        <v>105895272.70103425</v>
      </c>
      <c r="T86" s="502">
        <f t="shared" si="23"/>
        <v>0</v>
      </c>
      <c r="U86" s="421">
        <f t="shared" si="24"/>
        <v>0.81361638303057526</v>
      </c>
      <c r="V86" s="181">
        <f t="shared" si="25"/>
        <v>24258538.000998721</v>
      </c>
      <c r="W86" s="134">
        <f>V86/ITA!B84*1000</f>
        <v>77.419064073098269</v>
      </c>
    </row>
    <row r="87" spans="1:24" ht="15.75" thickBot="1" x14ac:dyDescent="0.3">
      <c r="A87" s="140" t="s">
        <v>84</v>
      </c>
      <c r="B87" s="141">
        <v>15937.31</v>
      </c>
      <c r="C87" s="517">
        <v>1.1890746295467006E-2</v>
      </c>
      <c r="D87" s="193">
        <f>'Total Inst. Cost'!G85</f>
        <v>83932324.89221172</v>
      </c>
      <c r="E87" s="194">
        <f>Facilities!J95</f>
        <v>20139410.21195583</v>
      </c>
      <c r="F87" s="195">
        <f>'District Services'!K94</f>
        <v>3803344.2600772432</v>
      </c>
      <c r="G87" s="494">
        <f t="shared" si="26"/>
        <v>107875079.36424479</v>
      </c>
      <c r="H87" s="148"/>
      <c r="I87" s="193">
        <f>'FY 19 State Pmt'!BL86</f>
        <v>67329412.590000033</v>
      </c>
      <c r="J87" s="194">
        <f>'Prop Tax'!K85</f>
        <v>20226580.938614521</v>
      </c>
      <c r="K87" s="489">
        <f t="shared" si="27"/>
        <v>87555993.528614551</v>
      </c>
      <c r="L87" s="148"/>
      <c r="M87" s="473">
        <f t="shared" si="18"/>
        <v>19483192.319644522</v>
      </c>
      <c r="N87" s="512">
        <f t="shared" si="19"/>
        <v>88391887.044600263</v>
      </c>
      <c r="O87" s="428">
        <f t="shared" si="20"/>
        <v>835893.51598571241</v>
      </c>
      <c r="P87" s="148">
        <f>M87/ITA!B85*1000</f>
        <v>100.07613282089798</v>
      </c>
      <c r="Q87" s="482"/>
      <c r="R87" s="506">
        <f t="shared" si="21"/>
        <v>0</v>
      </c>
      <c r="S87" s="507">
        <f t="shared" si="22"/>
        <v>88391887.044600263</v>
      </c>
      <c r="T87" s="508">
        <f t="shared" si="23"/>
        <v>835893.51598571241</v>
      </c>
      <c r="U87" s="423">
        <f t="shared" si="24"/>
        <v>0.81939116583304006</v>
      </c>
      <c r="V87" s="182">
        <f t="shared" si="25"/>
        <v>19483192.319644526</v>
      </c>
      <c r="W87" s="148">
        <f>V87/ITA!B85*1000</f>
        <v>100.07613282089801</v>
      </c>
    </row>
    <row r="88" spans="1:24" s="3" customFormat="1" ht="15.75" thickBot="1" x14ac:dyDescent="0.3">
      <c r="A88" s="687" t="s">
        <v>312</v>
      </c>
      <c r="B88" s="150">
        <v>721122.25</v>
      </c>
      <c r="C88" s="518">
        <f>SUM(C7:C87)</f>
        <v>1.0000000000000004</v>
      </c>
      <c r="D88" s="184">
        <f>'Total Inst. Cost'!G86</f>
        <v>4285662739.4764681</v>
      </c>
      <c r="E88" s="185">
        <f>Facilities!J96</f>
        <v>1005803194.2990003</v>
      </c>
      <c r="F88" s="186">
        <f>'District Services'!K95</f>
        <v>170258064.45440018</v>
      </c>
      <c r="G88" s="430">
        <f>SUM(D88:F88)</f>
        <v>5461723998.2298689</v>
      </c>
      <c r="H88" s="162"/>
      <c r="I88" s="160">
        <f>'FY 19 State Pmt'!BL87</f>
        <v>3024977581.3500009</v>
      </c>
      <c r="J88" s="161">
        <f>SUM(J7:J87)</f>
        <v>1208947937.6700773</v>
      </c>
      <c r="K88" s="154">
        <f>SUM(K7:K87)</f>
        <v>4233925519.0200758</v>
      </c>
      <c r="L88" s="162"/>
      <c r="M88" s="513">
        <f>SUM(M6:M87)</f>
        <v>1638517199.768961</v>
      </c>
      <c r="N88" s="430">
        <f>SUM(N6:N87)</f>
        <v>3823206799.460907</v>
      </c>
      <c r="O88" s="429">
        <f>SUM(O7:O87)</f>
        <v>-410718720.2591694</v>
      </c>
      <c r="P88" s="162">
        <f>M88/ITA!B86*1000</f>
        <v>100.07613283922116</v>
      </c>
      <c r="Q88" s="483"/>
      <c r="R88" s="156">
        <f>SUM(R7:R87)</f>
        <v>460358186.74045962</v>
      </c>
      <c r="S88" s="634">
        <f>SUM(S7:S87)</f>
        <v>4283564985.5013657</v>
      </c>
      <c r="T88" s="635">
        <f>SUM(T7:T87)</f>
        <v>49639466.481290102</v>
      </c>
      <c r="U88" s="424">
        <f t="shared" si="24"/>
        <v>0.78428807220754082</v>
      </c>
      <c r="V88" s="183">
        <f>SUM(V7:V87)</f>
        <v>1178159012.7285013</v>
      </c>
      <c r="W88" s="162">
        <f>V88/ITA!B86*1000</f>
        <v>71.958718456033552</v>
      </c>
    </row>
    <row r="89" spans="1:24" x14ac:dyDescent="0.25">
      <c r="A89" s="284" t="s">
        <v>600</v>
      </c>
      <c r="B89" s="284"/>
      <c r="C89" s="284"/>
      <c r="D89" s="284">
        <f>D88/$B$88</f>
        <v>5943.046050064976</v>
      </c>
      <c r="E89" s="284">
        <f t="shared" ref="E89:G89" si="28">E88/$B$88</f>
        <v>1394.7748724976941</v>
      </c>
      <c r="F89" s="284">
        <f t="shared" si="28"/>
        <v>236.10152710500915</v>
      </c>
      <c r="G89" s="284">
        <f t="shared" si="28"/>
        <v>7573.9224496676798</v>
      </c>
      <c r="H89" s="284"/>
      <c r="I89" s="284">
        <f>I88/$B$88</f>
        <v>4194.8193684912658</v>
      </c>
      <c r="J89" s="284">
        <f t="shared" ref="J89:K89" si="29">J88/$B$88</f>
        <v>1676.4812591347409</v>
      </c>
      <c r="K89" s="284">
        <f t="shared" si="29"/>
        <v>5871.3006276260039</v>
      </c>
      <c r="L89" s="284"/>
      <c r="M89" s="284">
        <f t="shared" ref="M89:O89" si="30">M88/$B$88</f>
        <v>2272.1767353163227</v>
      </c>
      <c r="N89" s="284">
        <f t="shared" si="30"/>
        <v>5301.7457157380832</v>
      </c>
      <c r="O89" s="284">
        <f t="shared" si="30"/>
        <v>-569.55491285863025</v>
      </c>
      <c r="P89" s="284"/>
      <c r="Q89" s="284"/>
      <c r="R89" s="284">
        <f t="shared" ref="R89:T89" si="31">R88/$B$88</f>
        <v>638.39132233190639</v>
      </c>
      <c r="S89" s="284">
        <f t="shared" si="31"/>
        <v>5940.137037099279</v>
      </c>
      <c r="T89" s="284">
        <f t="shared" si="31"/>
        <v>68.836409473275992</v>
      </c>
      <c r="U89" s="284"/>
      <c r="V89" s="284">
        <f>V88/$B$88</f>
        <v>1633.7854125683978</v>
      </c>
      <c r="X89" s="206"/>
    </row>
    <row r="90" spans="1:24" x14ac:dyDescent="0.25">
      <c r="H90" s="371"/>
      <c r="L90" s="371"/>
      <c r="M90" s="288"/>
      <c r="N90" t="s">
        <v>585</v>
      </c>
      <c r="O90" s="105">
        <f>SUMIF(O7:O87,"&gt;0")</f>
        <v>49639466.481290102</v>
      </c>
      <c r="P90" s="371">
        <f>COUNTIF(O7:O87,"&gt;0")</f>
        <v>35</v>
      </c>
      <c r="Q90" s="371"/>
      <c r="R90" s="105"/>
      <c r="S90" s="452" t="s">
        <v>704</v>
      </c>
      <c r="T90" s="451">
        <f>SUMIF(T7:T87,"&gt;0")</f>
        <v>49639466.481290102</v>
      </c>
      <c r="U90" s="371">
        <f>COUNTIF(T7:T87,"&gt;0")</f>
        <v>35</v>
      </c>
      <c r="V90" s="289" t="s">
        <v>702</v>
      </c>
      <c r="W90" s="206">
        <f>MIN(W7:W87)</f>
        <v>0.17027552032698887</v>
      </c>
    </row>
    <row r="91" spans="1:24" x14ac:dyDescent="0.25">
      <c r="H91" s="371"/>
      <c r="L91" s="371"/>
      <c r="N91" t="s">
        <v>586</v>
      </c>
      <c r="O91" s="105">
        <f>SUMIF(O7:O87,"&lt;0")</f>
        <v>-460358186.74045962</v>
      </c>
      <c r="P91" s="371">
        <f>COUNTIF(O7:O87,"&lt;0")</f>
        <v>46</v>
      </c>
      <c r="Q91" s="371"/>
      <c r="R91" s="105"/>
      <c r="S91" s="289"/>
      <c r="T91" s="105">
        <f>SUMIF(T7:T87,"&lt;0")</f>
        <v>0</v>
      </c>
      <c r="U91" s="371">
        <f>COUNTIF(T7:T87,"&lt;0")</f>
        <v>0</v>
      </c>
      <c r="V91" s="400" t="s">
        <v>703</v>
      </c>
      <c r="W91" s="206">
        <f>MAX(W7:W87)</f>
        <v>100.07613282089804</v>
      </c>
    </row>
    <row r="93" spans="1:24" x14ac:dyDescent="0.25">
      <c r="R93" s="288"/>
    </row>
  </sheetData>
  <mergeCells count="6">
    <mergeCell ref="R3:T3"/>
    <mergeCell ref="U3:W3"/>
    <mergeCell ref="D3:G3"/>
    <mergeCell ref="I3:K3"/>
    <mergeCell ref="D2:G2"/>
    <mergeCell ref="M3:N3"/>
  </mergeCells>
  <conditionalFormatting sqref="G7">
    <cfRule type="expression" priority="1">
      <formula>"&lt;$N$6"</formula>
    </cfRule>
  </conditionalFormatting>
  <printOptions horizontalCentered="1"/>
  <pageMargins left="0.5" right="0.5" top="0.5" bottom="0.5" header="0.3" footer="0.3"/>
  <pageSetup paperSize="5" scale="68" fitToHeight="2" orientation="landscape" r:id="rId1"/>
  <headerFooter>
    <oddHeader>&amp;R&amp;"-,Bold"&amp;12Option 1 Page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96"/>
  <sheetViews>
    <sheetView zoomScaleNormal="100" workbookViewId="0">
      <selection activeCell="K9" sqref="K9"/>
    </sheetView>
  </sheetViews>
  <sheetFormatPr defaultRowHeight="15" x14ac:dyDescent="0.25"/>
  <cols>
    <col min="1" max="1" width="17.7109375" style="1" customWidth="1"/>
    <col min="2" max="2" width="12.42578125" style="1" customWidth="1"/>
    <col min="3" max="3" width="9.5703125" style="230" customWidth="1"/>
    <col min="4" max="4" width="15.28515625" style="1" bestFit="1" customWidth="1"/>
    <col min="5" max="5" width="13.5703125" style="230" customWidth="1"/>
    <col min="6" max="6" width="12.42578125" style="1" customWidth="1"/>
    <col min="7" max="7" width="13.28515625" style="1" customWidth="1"/>
    <col min="8" max="8" width="12.28515625" style="1" customWidth="1"/>
    <col min="9" max="9" width="12" style="1" customWidth="1"/>
    <col min="10" max="10" width="14.28515625" style="1" customWidth="1"/>
    <col min="11" max="11" width="12.85546875" style="1" customWidth="1"/>
    <col min="12" max="12" width="13.7109375" style="1" customWidth="1"/>
    <col min="13" max="13" width="12.140625" style="1" customWidth="1"/>
    <col min="14" max="14" width="14.85546875" style="1" customWidth="1"/>
    <col min="15" max="15" width="7" style="1" bestFit="1" customWidth="1"/>
    <col min="16" max="16384" width="9.140625" style="1"/>
  </cols>
  <sheetData>
    <row r="1" spans="1:14" ht="23.25" x14ac:dyDescent="0.35">
      <c r="A1" s="229" t="s">
        <v>668</v>
      </c>
    </row>
    <row r="2" spans="1:14" ht="15.75" customHeight="1" thickBot="1" x14ac:dyDescent="0.4">
      <c r="A2" s="229"/>
    </row>
    <row r="3" spans="1:14" ht="15.75" thickBot="1" x14ac:dyDescent="0.3">
      <c r="A3" s="640" t="s">
        <v>94</v>
      </c>
      <c r="B3" s="352"/>
      <c r="C3" s="353"/>
      <c r="D3" s="640" t="s">
        <v>97</v>
      </c>
      <c r="E3" s="36"/>
      <c r="F3" s="592"/>
      <c r="G3" s="836" t="s">
        <v>104</v>
      </c>
      <c r="H3" s="837"/>
      <c r="I3" s="838"/>
    </row>
    <row r="4" spans="1:14" ht="25.5" x14ac:dyDescent="0.25">
      <c r="A4" s="354" t="s">
        <v>163</v>
      </c>
      <c r="B4" s="37">
        <f>Amounts!B4</f>
        <v>44586</v>
      </c>
      <c r="C4" s="353"/>
      <c r="D4" s="354" t="s">
        <v>163</v>
      </c>
      <c r="E4" s="37">
        <f>Amounts!C46</f>
        <v>22293</v>
      </c>
      <c r="F4" s="592"/>
      <c r="G4" s="355" t="s">
        <v>101</v>
      </c>
      <c r="H4" s="641"/>
      <c r="I4" s="10">
        <f>Amounts!B16</f>
        <v>16.5</v>
      </c>
    </row>
    <row r="5" spans="1:14" ht="26.25" thickBot="1" x14ac:dyDescent="0.3">
      <c r="A5" s="354" t="s">
        <v>138</v>
      </c>
      <c r="B5" s="37">
        <f>B4*C9</f>
        <v>12600.0036</v>
      </c>
      <c r="C5" s="353"/>
      <c r="D5" s="354" t="s">
        <v>138</v>
      </c>
      <c r="E5" s="37">
        <f>E4*C9</f>
        <v>6300.0018</v>
      </c>
      <c r="F5" s="592"/>
      <c r="G5" s="356" t="s">
        <v>107</v>
      </c>
      <c r="H5" s="642"/>
      <c r="I5" s="11">
        <f>Amounts!C16</f>
        <v>21.5</v>
      </c>
    </row>
    <row r="6" spans="1:14" ht="15.75" thickBot="1" x14ac:dyDescent="0.3">
      <c r="A6" s="355" t="s">
        <v>98</v>
      </c>
      <c r="B6" s="37">
        <f>Amounts!B6</f>
        <v>6798</v>
      </c>
      <c r="C6" s="353"/>
      <c r="D6" s="355" t="s">
        <v>98</v>
      </c>
      <c r="E6" s="37">
        <f>B6</f>
        <v>6798</v>
      </c>
      <c r="F6" s="592"/>
      <c r="G6" s="33"/>
      <c r="H6" s="643"/>
      <c r="I6" s="353"/>
    </row>
    <row r="7" spans="1:14" ht="15.75" thickBot="1" x14ac:dyDescent="0.3">
      <c r="A7" s="644" t="s">
        <v>96</v>
      </c>
      <c r="B7" s="645">
        <f>SUM(B4:B6)</f>
        <v>63984.003599999996</v>
      </c>
      <c r="C7" s="353"/>
      <c r="D7" s="644" t="s">
        <v>96</v>
      </c>
      <c r="E7" s="645">
        <f>SUM(E4:E6)</f>
        <v>35391.001799999998</v>
      </c>
      <c r="F7" s="592"/>
      <c r="G7" s="357" t="s">
        <v>106</v>
      </c>
      <c r="H7" s="646"/>
      <c r="I7" s="358">
        <f>Amounts!E46</f>
        <v>1</v>
      </c>
    </row>
    <row r="8" spans="1:14" ht="15.75" customHeight="1" x14ac:dyDescent="0.25">
      <c r="A8" s="592"/>
      <c r="B8" s="592"/>
      <c r="C8" s="647"/>
      <c r="D8" s="592"/>
      <c r="E8" s="647"/>
      <c r="F8" s="353"/>
      <c r="G8" s="592"/>
      <c r="H8" s="592"/>
      <c r="I8" s="592"/>
    </row>
    <row r="9" spans="1:14" ht="15.75" customHeight="1" thickBot="1" x14ac:dyDescent="0.3">
      <c r="A9" s="648" t="s">
        <v>137</v>
      </c>
      <c r="B9" s="649"/>
      <c r="C9" s="231">
        <f>Amounts!B9</f>
        <v>0.28260000000000002</v>
      </c>
      <c r="D9" s="650"/>
      <c r="E9" s="649"/>
      <c r="F9" s="353"/>
      <c r="G9" s="592"/>
      <c r="H9" s="592"/>
      <c r="I9" s="592"/>
    </row>
    <row r="10" spans="1:14" ht="15.75" customHeight="1" thickBot="1" x14ac:dyDescent="0.4">
      <c r="A10" s="229"/>
      <c r="B10" s="839" t="s">
        <v>808</v>
      </c>
      <c r="C10" s="840"/>
      <c r="D10" s="840"/>
      <c r="E10" s="840"/>
      <c r="F10" s="840"/>
      <c r="G10" s="840"/>
      <c r="H10" s="840"/>
      <c r="I10" s="840"/>
      <c r="J10" s="840"/>
      <c r="K10" s="840"/>
      <c r="L10" s="840"/>
      <c r="M10" s="840"/>
      <c r="N10" s="841"/>
    </row>
    <row r="11" spans="1:14" ht="15.75" thickBot="1" x14ac:dyDescent="0.3">
      <c r="B11" s="833" t="s">
        <v>93</v>
      </c>
      <c r="C11" s="834"/>
      <c r="D11" s="834"/>
      <c r="E11" s="834"/>
      <c r="F11" s="833" t="s">
        <v>2</v>
      </c>
      <c r="G11" s="834"/>
      <c r="H11" s="835"/>
      <c r="I11" s="833" t="s">
        <v>120</v>
      </c>
      <c r="J11" s="834"/>
      <c r="K11" s="835"/>
      <c r="L11" s="833" t="s">
        <v>89</v>
      </c>
      <c r="M11" s="834"/>
      <c r="N11" s="835"/>
    </row>
    <row r="12" spans="1:14" x14ac:dyDescent="0.25">
      <c r="A12" s="848" t="s">
        <v>0</v>
      </c>
      <c r="B12" s="844" t="s">
        <v>86</v>
      </c>
      <c r="C12" s="846" t="s">
        <v>85</v>
      </c>
      <c r="D12" s="846" t="s">
        <v>92</v>
      </c>
      <c r="E12" s="846" t="s">
        <v>1</v>
      </c>
      <c r="F12" s="844" t="s">
        <v>88</v>
      </c>
      <c r="G12" s="846" t="s">
        <v>3</v>
      </c>
      <c r="H12" s="827" t="s">
        <v>100</v>
      </c>
      <c r="I12" s="844" t="s">
        <v>88</v>
      </c>
      <c r="J12" s="846" t="s">
        <v>3</v>
      </c>
      <c r="K12" s="827" t="s">
        <v>100</v>
      </c>
      <c r="L12" s="831" t="s">
        <v>87</v>
      </c>
      <c r="M12" s="829" t="s">
        <v>185</v>
      </c>
      <c r="N12" s="842" t="s">
        <v>105</v>
      </c>
    </row>
    <row r="13" spans="1:14" x14ac:dyDescent="0.25">
      <c r="A13" s="849"/>
      <c r="B13" s="845"/>
      <c r="C13" s="847"/>
      <c r="D13" s="847"/>
      <c r="E13" s="847"/>
      <c r="F13" s="845"/>
      <c r="G13" s="847"/>
      <c r="H13" s="828"/>
      <c r="I13" s="845"/>
      <c r="J13" s="847"/>
      <c r="K13" s="828"/>
      <c r="L13" s="832"/>
      <c r="M13" s="830" t="s">
        <v>185</v>
      </c>
      <c r="N13" s="843"/>
    </row>
    <row r="14" spans="1:14" x14ac:dyDescent="0.25">
      <c r="A14" s="809" t="s">
        <v>715</v>
      </c>
      <c r="B14" s="688" t="s">
        <v>716</v>
      </c>
      <c r="C14" s="689" t="s">
        <v>717</v>
      </c>
      <c r="D14" s="689" t="s">
        <v>718</v>
      </c>
      <c r="E14" s="689" t="s">
        <v>719</v>
      </c>
      <c r="F14" s="690" t="s">
        <v>720</v>
      </c>
      <c r="G14" s="691" t="s">
        <v>721</v>
      </c>
      <c r="H14" s="692" t="s">
        <v>722</v>
      </c>
      <c r="I14" s="690" t="s">
        <v>723</v>
      </c>
      <c r="J14" s="691" t="s">
        <v>724</v>
      </c>
      <c r="K14" s="692" t="s">
        <v>725</v>
      </c>
      <c r="L14" s="693" t="s">
        <v>726</v>
      </c>
      <c r="M14" s="694" t="s">
        <v>727</v>
      </c>
      <c r="N14" s="695" t="s">
        <v>728</v>
      </c>
    </row>
    <row r="15" spans="1:14" x14ac:dyDescent="0.25">
      <c r="A15" s="41" t="s">
        <v>4</v>
      </c>
      <c r="B15" s="219">
        <v>2915.96</v>
      </c>
      <c r="C15" s="236">
        <v>2006.13</v>
      </c>
      <c r="D15" s="14">
        <f>C15/B15</f>
        <v>0.68798268837706966</v>
      </c>
      <c r="E15" s="13">
        <v>243.79</v>
      </c>
      <c r="F15" s="8">
        <f t="shared" ref="F15:F46" si="0">E15*D15</f>
        <v>167.7232995994458</v>
      </c>
      <c r="G15" s="7">
        <f>(F15/$I$4)</f>
        <v>10.165048460572473</v>
      </c>
      <c r="H15" s="6">
        <f>(G15*$I$7)</f>
        <v>10.165048460572473</v>
      </c>
      <c r="I15" s="8">
        <f t="shared" ref="I15:I46" si="1">E15-F15</f>
        <v>76.066700400554197</v>
      </c>
      <c r="J15" s="7">
        <f>(I15/$I$5)</f>
        <v>3.5379860651420558</v>
      </c>
      <c r="K15" s="5">
        <f>(J15*$I$7)</f>
        <v>3.5379860651420558</v>
      </c>
      <c r="L15" s="64">
        <f t="shared" ref="L15:L46" si="2">SUM(G15,J15)</f>
        <v>13.703034525714529</v>
      </c>
      <c r="M15" s="5">
        <f t="shared" ref="M15:M46" si="3">SUM(H15,K15)</f>
        <v>13.703034525714529</v>
      </c>
      <c r="N15" s="12">
        <f>($B$7*L15)+($E$7*M15)</f>
        <v>1361739.1299892676</v>
      </c>
    </row>
    <row r="16" spans="1:14" x14ac:dyDescent="0.25">
      <c r="A16" s="41" t="s">
        <v>5</v>
      </c>
      <c r="B16" s="219">
        <v>23246.81</v>
      </c>
      <c r="C16" s="236">
        <v>15253.01</v>
      </c>
      <c r="D16" s="14">
        <f t="shared" ref="D16:D79" si="4">C16/B16</f>
        <v>0.65613346519371907</v>
      </c>
      <c r="E16" s="13">
        <v>1651.11</v>
      </c>
      <c r="F16" s="8">
        <f t="shared" si="0"/>
        <v>1083.3485257160014</v>
      </c>
      <c r="G16" s="7">
        <f t="shared" ref="G16:G79" si="5">(F16/$I$4)</f>
        <v>65.65748640703039</v>
      </c>
      <c r="H16" s="6">
        <f t="shared" ref="H16:H79" si="6">(G16*$I$7)</f>
        <v>65.65748640703039</v>
      </c>
      <c r="I16" s="8">
        <f t="shared" si="1"/>
        <v>567.7614742839985</v>
      </c>
      <c r="J16" s="7">
        <f t="shared" ref="J16:J79" si="7">(I16/$I$5)</f>
        <v>26.407510431813883</v>
      </c>
      <c r="K16" s="5">
        <f t="shared" ref="K16:K79" si="8">(J16*$I$7)</f>
        <v>26.407510431813883</v>
      </c>
      <c r="L16" s="64">
        <f t="shared" si="2"/>
        <v>92.06499683884428</v>
      </c>
      <c r="M16" s="5">
        <f t="shared" si="3"/>
        <v>92.06499683884428</v>
      </c>
      <c r="N16" s="12">
        <f t="shared" ref="N16:N79" si="9">($B$7*L16)+($E$7*M16)</f>
        <v>9148959.5580111332</v>
      </c>
    </row>
    <row r="17" spans="1:14" x14ac:dyDescent="0.25">
      <c r="A17" s="41" t="s">
        <v>6</v>
      </c>
      <c r="B17" s="219">
        <v>1028.55</v>
      </c>
      <c r="C17" s="236">
        <v>973.11</v>
      </c>
      <c r="D17" s="14">
        <f t="shared" si="4"/>
        <v>0.94609887705993878</v>
      </c>
      <c r="E17" s="13">
        <v>80.83</v>
      </c>
      <c r="F17" s="8">
        <f t="shared" si="0"/>
        <v>76.473172232754848</v>
      </c>
      <c r="G17" s="7">
        <f t="shared" si="5"/>
        <v>4.6347377110760517</v>
      </c>
      <c r="H17" s="6">
        <f t="shared" si="6"/>
        <v>4.6347377110760517</v>
      </c>
      <c r="I17" s="8">
        <f t="shared" si="1"/>
        <v>4.3568277672451501</v>
      </c>
      <c r="J17" s="7">
        <f t="shared" si="7"/>
        <v>0.20264315196489069</v>
      </c>
      <c r="K17" s="5">
        <f t="shared" si="8"/>
        <v>0.20264315196489069</v>
      </c>
      <c r="L17" s="64">
        <f t="shared" si="2"/>
        <v>4.8373808630409423</v>
      </c>
      <c r="M17" s="5">
        <f t="shared" si="3"/>
        <v>4.8373808630409423</v>
      </c>
      <c r="N17" s="12">
        <f t="shared" si="9"/>
        <v>480714.74938655028</v>
      </c>
    </row>
    <row r="18" spans="1:14" x14ac:dyDescent="0.25">
      <c r="A18" s="41" t="s">
        <v>7</v>
      </c>
      <c r="B18" s="219">
        <v>9875.19</v>
      </c>
      <c r="C18" s="236">
        <v>4961.09</v>
      </c>
      <c r="D18" s="14">
        <f t="shared" si="4"/>
        <v>0.50237919472941783</v>
      </c>
      <c r="E18" s="13">
        <v>709.1</v>
      </c>
      <c r="F18" s="8">
        <f t="shared" si="0"/>
        <v>356.23708698263022</v>
      </c>
      <c r="G18" s="7">
        <f t="shared" si="5"/>
        <v>21.590126483795771</v>
      </c>
      <c r="H18" s="6">
        <f t="shared" si="6"/>
        <v>21.590126483795771</v>
      </c>
      <c r="I18" s="8">
        <f t="shared" si="1"/>
        <v>352.86291301736981</v>
      </c>
      <c r="J18" s="7">
        <f t="shared" si="7"/>
        <v>16.412228512435806</v>
      </c>
      <c r="K18" s="5">
        <f t="shared" si="8"/>
        <v>16.412228512435806</v>
      </c>
      <c r="L18" s="64">
        <f t="shared" si="2"/>
        <v>38.002354996231574</v>
      </c>
      <c r="M18" s="5">
        <f t="shared" si="3"/>
        <v>38.002354996231574</v>
      </c>
      <c r="N18" s="12">
        <f t="shared" si="9"/>
        <v>3776484.2329632295</v>
      </c>
    </row>
    <row r="19" spans="1:14" x14ac:dyDescent="0.25">
      <c r="A19" s="41" t="s">
        <v>8</v>
      </c>
      <c r="B19" s="219">
        <v>3618.89</v>
      </c>
      <c r="C19" s="236">
        <v>2306.6999999999998</v>
      </c>
      <c r="D19" s="14">
        <f t="shared" si="4"/>
        <v>0.63740539226116288</v>
      </c>
      <c r="E19" s="13">
        <v>271.74</v>
      </c>
      <c r="F19" s="8">
        <f t="shared" si="0"/>
        <v>173.2085412930484</v>
      </c>
      <c r="G19" s="7">
        <f t="shared" si="5"/>
        <v>10.497487351093842</v>
      </c>
      <c r="H19" s="6">
        <f t="shared" si="6"/>
        <v>10.497487351093842</v>
      </c>
      <c r="I19" s="8">
        <f t="shared" si="1"/>
        <v>98.531458706951611</v>
      </c>
      <c r="J19" s="7">
        <f t="shared" si="7"/>
        <v>4.582858544509377</v>
      </c>
      <c r="K19" s="5">
        <f t="shared" si="8"/>
        <v>4.582858544509377</v>
      </c>
      <c r="L19" s="64">
        <f t="shared" si="2"/>
        <v>15.080345895603219</v>
      </c>
      <c r="M19" s="5">
        <f t="shared" si="3"/>
        <v>15.080345895603219</v>
      </c>
      <c r="N19" s="12">
        <f t="shared" si="9"/>
        <v>1498609.4548094377</v>
      </c>
    </row>
    <row r="20" spans="1:14" x14ac:dyDescent="0.25">
      <c r="A20" s="41" t="s">
        <v>9</v>
      </c>
      <c r="B20" s="219">
        <v>2479.0500000000002</v>
      </c>
      <c r="C20" s="236">
        <v>1811.63</v>
      </c>
      <c r="D20" s="14">
        <f t="shared" si="4"/>
        <v>0.73077590205925658</v>
      </c>
      <c r="E20" s="13">
        <v>208.54</v>
      </c>
      <c r="F20" s="8">
        <f t="shared" si="0"/>
        <v>152.39600661543736</v>
      </c>
      <c r="G20" s="7">
        <f t="shared" si="5"/>
        <v>9.2361216130568096</v>
      </c>
      <c r="H20" s="6">
        <f t="shared" si="6"/>
        <v>9.2361216130568096</v>
      </c>
      <c r="I20" s="8">
        <f t="shared" si="1"/>
        <v>56.143993384562634</v>
      </c>
      <c r="J20" s="7">
        <f t="shared" si="7"/>
        <v>2.6113485295145411</v>
      </c>
      <c r="K20" s="5">
        <f t="shared" si="8"/>
        <v>2.6113485295145411</v>
      </c>
      <c r="L20" s="64">
        <f t="shared" si="2"/>
        <v>11.84747014257135</v>
      </c>
      <c r="M20" s="5">
        <f t="shared" si="3"/>
        <v>11.84747014257135</v>
      </c>
      <c r="N20" s="12">
        <f t="shared" si="9"/>
        <v>1177342.4093943667</v>
      </c>
    </row>
    <row r="21" spans="1:14" x14ac:dyDescent="0.25">
      <c r="A21" s="41" t="s">
        <v>10</v>
      </c>
      <c r="B21" s="219">
        <v>2744.29</v>
      </c>
      <c r="C21" s="236">
        <v>1684.95</v>
      </c>
      <c r="D21" s="14">
        <f t="shared" si="4"/>
        <v>0.61398394484547913</v>
      </c>
      <c r="E21" s="13">
        <v>202.29</v>
      </c>
      <c r="F21" s="8">
        <f t="shared" si="0"/>
        <v>124.20281220279197</v>
      </c>
      <c r="G21" s="7">
        <f t="shared" si="5"/>
        <v>7.5274431638055743</v>
      </c>
      <c r="H21" s="6">
        <f t="shared" si="6"/>
        <v>7.5274431638055743</v>
      </c>
      <c r="I21" s="8">
        <f t="shared" si="1"/>
        <v>78.087187797208017</v>
      </c>
      <c r="J21" s="7">
        <f t="shared" si="7"/>
        <v>3.6319622231259543</v>
      </c>
      <c r="K21" s="5">
        <f t="shared" si="8"/>
        <v>3.6319622231259543</v>
      </c>
      <c r="L21" s="64">
        <f t="shared" si="2"/>
        <v>11.159405386931528</v>
      </c>
      <c r="M21" s="5">
        <f t="shared" si="3"/>
        <v>11.159405386931528</v>
      </c>
      <c r="N21" s="12">
        <f t="shared" si="9"/>
        <v>1108965.9705871097</v>
      </c>
    </row>
    <row r="22" spans="1:14" x14ac:dyDescent="0.25">
      <c r="A22" s="41" t="s">
        <v>11</v>
      </c>
      <c r="B22" s="219">
        <v>12671.61</v>
      </c>
      <c r="C22" s="236">
        <v>8210.69</v>
      </c>
      <c r="D22" s="14">
        <f t="shared" si="4"/>
        <v>0.64795949370285233</v>
      </c>
      <c r="E22" s="13">
        <v>987.91</v>
      </c>
      <c r="F22" s="8">
        <f t="shared" si="0"/>
        <v>640.12566342398486</v>
      </c>
      <c r="G22" s="7">
        <f t="shared" si="5"/>
        <v>38.795494752968779</v>
      </c>
      <c r="H22" s="6">
        <f t="shared" si="6"/>
        <v>38.795494752968779</v>
      </c>
      <c r="I22" s="8">
        <f t="shared" si="1"/>
        <v>347.78433657601511</v>
      </c>
      <c r="J22" s="7">
        <f t="shared" si="7"/>
        <v>16.176015654698379</v>
      </c>
      <c r="K22" s="5">
        <f t="shared" si="8"/>
        <v>16.176015654698379</v>
      </c>
      <c r="L22" s="64">
        <f t="shared" si="2"/>
        <v>54.971510407667154</v>
      </c>
      <c r="M22" s="5">
        <f t="shared" si="3"/>
        <v>54.971510407667154</v>
      </c>
      <c r="N22" s="12">
        <f t="shared" si="9"/>
        <v>5462794.1436080793</v>
      </c>
    </row>
    <row r="23" spans="1:14" x14ac:dyDescent="0.25">
      <c r="A23" s="41" t="s">
        <v>12</v>
      </c>
      <c r="B23" s="219">
        <v>1256.76</v>
      </c>
      <c r="C23" s="236">
        <v>988.98</v>
      </c>
      <c r="D23" s="14">
        <f t="shared" si="4"/>
        <v>0.78692829179795665</v>
      </c>
      <c r="E23" s="13">
        <v>93.5</v>
      </c>
      <c r="F23" s="8">
        <f t="shared" si="0"/>
        <v>73.577795283108941</v>
      </c>
      <c r="G23" s="7">
        <f t="shared" si="5"/>
        <v>4.4592603201884202</v>
      </c>
      <c r="H23" s="6">
        <f t="shared" si="6"/>
        <v>4.4592603201884202</v>
      </c>
      <c r="I23" s="8">
        <f t="shared" si="1"/>
        <v>19.922204716891059</v>
      </c>
      <c r="J23" s="7">
        <f t="shared" si="7"/>
        <v>0.92661417287865389</v>
      </c>
      <c r="K23" s="5">
        <f t="shared" si="8"/>
        <v>0.92661417287865389</v>
      </c>
      <c r="L23" s="64">
        <f t="shared" si="2"/>
        <v>5.3858744930670746</v>
      </c>
      <c r="M23" s="5">
        <f t="shared" si="3"/>
        <v>5.3858744930670746</v>
      </c>
      <c r="N23" s="12">
        <f t="shared" si="9"/>
        <v>535221.30683226278</v>
      </c>
    </row>
    <row r="24" spans="1:14" x14ac:dyDescent="0.25">
      <c r="A24" s="41" t="s">
        <v>13</v>
      </c>
      <c r="B24" s="219">
        <v>638.25</v>
      </c>
      <c r="C24" s="236">
        <v>596.16999999999996</v>
      </c>
      <c r="D24" s="14">
        <f t="shared" si="4"/>
        <v>0.93406972189580884</v>
      </c>
      <c r="E24" s="13">
        <v>51.57</v>
      </c>
      <c r="F24" s="8">
        <f t="shared" si="0"/>
        <v>48.169975558166861</v>
      </c>
      <c r="G24" s="7">
        <f t="shared" si="5"/>
        <v>2.9193924580707189</v>
      </c>
      <c r="H24" s="6">
        <f t="shared" si="6"/>
        <v>2.9193924580707189</v>
      </c>
      <c r="I24" s="8">
        <f t="shared" si="1"/>
        <v>3.4000244418331391</v>
      </c>
      <c r="J24" s="7">
        <f t="shared" si="7"/>
        <v>0.15814067171316926</v>
      </c>
      <c r="K24" s="5">
        <f t="shared" si="8"/>
        <v>0.15814067171316926</v>
      </c>
      <c r="L24" s="64">
        <f t="shared" si="2"/>
        <v>3.0775331297838884</v>
      </c>
      <c r="M24" s="5">
        <f t="shared" si="3"/>
        <v>3.0775331297838884</v>
      </c>
      <c r="N24" s="12">
        <f t="shared" si="9"/>
        <v>305829.87139095279</v>
      </c>
    </row>
    <row r="25" spans="1:14" x14ac:dyDescent="0.25">
      <c r="A25" s="41" t="s">
        <v>14</v>
      </c>
      <c r="B25" s="219">
        <v>587.14</v>
      </c>
      <c r="C25" s="236">
        <v>560.97</v>
      </c>
      <c r="D25" s="14">
        <f t="shared" si="4"/>
        <v>0.95542800694893903</v>
      </c>
      <c r="E25" s="13">
        <v>57.74</v>
      </c>
      <c r="F25" s="8">
        <f t="shared" si="0"/>
        <v>55.166413121231741</v>
      </c>
      <c r="G25" s="7">
        <f t="shared" si="5"/>
        <v>3.3434189770443479</v>
      </c>
      <c r="H25" s="6">
        <f t="shared" si="6"/>
        <v>3.3434189770443479</v>
      </c>
      <c r="I25" s="8">
        <f t="shared" si="1"/>
        <v>2.5735868787682605</v>
      </c>
      <c r="J25" s="7">
        <f t="shared" si="7"/>
        <v>0.119701715291547</v>
      </c>
      <c r="K25" s="5">
        <f t="shared" si="8"/>
        <v>0.119701715291547</v>
      </c>
      <c r="L25" s="64">
        <f t="shared" si="2"/>
        <v>3.4631206923358948</v>
      </c>
      <c r="M25" s="5">
        <f t="shared" si="3"/>
        <v>3.4631206923358948</v>
      </c>
      <c r="N25" s="12">
        <f t="shared" si="9"/>
        <v>344147.63750173128</v>
      </c>
    </row>
    <row r="26" spans="1:14" x14ac:dyDescent="0.25">
      <c r="A26" s="41" t="s">
        <v>15</v>
      </c>
      <c r="B26" s="219">
        <v>822.79</v>
      </c>
      <c r="C26" s="236">
        <v>627.70000000000005</v>
      </c>
      <c r="D26" s="14">
        <f t="shared" si="4"/>
        <v>0.76289211098822307</v>
      </c>
      <c r="E26" s="13">
        <v>59.56</v>
      </c>
      <c r="F26" s="8">
        <f t="shared" si="0"/>
        <v>45.437854130458568</v>
      </c>
      <c r="G26" s="7">
        <f t="shared" si="5"/>
        <v>2.7538093412399132</v>
      </c>
      <c r="H26" s="6">
        <f t="shared" si="6"/>
        <v>2.7538093412399132</v>
      </c>
      <c r="I26" s="8">
        <f t="shared" si="1"/>
        <v>14.122145869541434</v>
      </c>
      <c r="J26" s="7">
        <f t="shared" si="7"/>
        <v>0.65684399393215975</v>
      </c>
      <c r="K26" s="5">
        <f t="shared" si="8"/>
        <v>0.65684399393215975</v>
      </c>
      <c r="L26" s="64">
        <f t="shared" si="2"/>
        <v>3.4106533351720731</v>
      </c>
      <c r="M26" s="5">
        <f t="shared" si="3"/>
        <v>3.4106533351720731</v>
      </c>
      <c r="N26" s="12">
        <f t="shared" si="9"/>
        <v>338933.69360025274</v>
      </c>
    </row>
    <row r="27" spans="1:14" x14ac:dyDescent="0.25">
      <c r="A27" s="41" t="s">
        <v>16</v>
      </c>
      <c r="B27" s="219">
        <v>2117.3200000000002</v>
      </c>
      <c r="C27" s="236">
        <v>1622.36</v>
      </c>
      <c r="D27" s="14">
        <f t="shared" si="4"/>
        <v>0.76623278484121427</v>
      </c>
      <c r="E27" s="13">
        <v>165.46</v>
      </c>
      <c r="F27" s="8">
        <f t="shared" si="0"/>
        <v>126.78087657982732</v>
      </c>
      <c r="G27" s="7">
        <f t="shared" si="5"/>
        <v>7.683689489686504</v>
      </c>
      <c r="H27" s="6">
        <f t="shared" si="6"/>
        <v>7.683689489686504</v>
      </c>
      <c r="I27" s="8">
        <f t="shared" si="1"/>
        <v>38.679123420172687</v>
      </c>
      <c r="J27" s="7">
        <f t="shared" si="7"/>
        <v>1.7990289962871018</v>
      </c>
      <c r="K27" s="5">
        <f t="shared" si="8"/>
        <v>1.7990289962871018</v>
      </c>
      <c r="L27" s="64">
        <f t="shared" si="2"/>
        <v>9.4827184859736064</v>
      </c>
      <c r="M27" s="5">
        <f t="shared" si="3"/>
        <v>9.4827184859736064</v>
      </c>
      <c r="N27" s="12">
        <f t="shared" si="9"/>
        <v>942345.20075030695</v>
      </c>
    </row>
    <row r="28" spans="1:14" x14ac:dyDescent="0.25">
      <c r="A28" s="41" t="s">
        <v>17</v>
      </c>
      <c r="B28" s="219">
        <v>21287.25</v>
      </c>
      <c r="C28" s="236">
        <v>12285.96</v>
      </c>
      <c r="D28" s="14">
        <f t="shared" si="4"/>
        <v>0.57715111158087584</v>
      </c>
      <c r="E28" s="13">
        <v>1585.26</v>
      </c>
      <c r="F28" s="8">
        <f t="shared" si="0"/>
        <v>914.93457114469925</v>
      </c>
      <c r="G28" s="7">
        <f t="shared" si="5"/>
        <v>55.450580069375711</v>
      </c>
      <c r="H28" s="6">
        <f t="shared" si="6"/>
        <v>55.450580069375711</v>
      </c>
      <c r="I28" s="8">
        <f t="shared" si="1"/>
        <v>670.32542885530074</v>
      </c>
      <c r="J28" s="7">
        <f t="shared" si="7"/>
        <v>31.177926923502358</v>
      </c>
      <c r="K28" s="5">
        <f t="shared" si="8"/>
        <v>31.177926923502358</v>
      </c>
      <c r="L28" s="64">
        <f t="shared" si="2"/>
        <v>86.628506992878073</v>
      </c>
      <c r="M28" s="5">
        <f t="shared" si="3"/>
        <v>86.628506992878073</v>
      </c>
      <c r="N28" s="12">
        <f t="shared" si="9"/>
        <v>8608708.3502111956</v>
      </c>
    </row>
    <row r="29" spans="1:14" x14ac:dyDescent="0.25">
      <c r="A29" s="41" t="s">
        <v>18</v>
      </c>
      <c r="B29" s="219">
        <v>34520.18</v>
      </c>
      <c r="C29" s="236">
        <v>19753.580000000002</v>
      </c>
      <c r="D29" s="14">
        <f t="shared" si="4"/>
        <v>0.57223282149745458</v>
      </c>
      <c r="E29" s="13">
        <v>2531.61</v>
      </c>
      <c r="F29" s="8">
        <f t="shared" si="0"/>
        <v>1448.6703332311711</v>
      </c>
      <c r="G29" s="7">
        <f t="shared" si="5"/>
        <v>87.798202014010371</v>
      </c>
      <c r="H29" s="6">
        <f t="shared" si="6"/>
        <v>87.798202014010371</v>
      </c>
      <c r="I29" s="8">
        <f t="shared" si="1"/>
        <v>1082.9396667688291</v>
      </c>
      <c r="J29" s="7">
        <f t="shared" si="7"/>
        <v>50.369286826457163</v>
      </c>
      <c r="K29" s="5">
        <f t="shared" si="8"/>
        <v>50.369286826457163</v>
      </c>
      <c r="L29" s="64">
        <f t="shared" si="2"/>
        <v>138.16748884046754</v>
      </c>
      <c r="M29" s="5">
        <f t="shared" si="3"/>
        <v>138.16748884046754</v>
      </c>
      <c r="N29" s="12">
        <f t="shared" si="9"/>
        <v>13730394.9496259</v>
      </c>
    </row>
    <row r="30" spans="1:14" x14ac:dyDescent="0.25">
      <c r="A30" s="41" t="s">
        <v>19</v>
      </c>
      <c r="B30" s="219">
        <v>1587.18</v>
      </c>
      <c r="C30" s="236">
        <v>1248.23</v>
      </c>
      <c r="D30" s="14">
        <f t="shared" si="4"/>
        <v>0.78644514169785407</v>
      </c>
      <c r="E30" s="13">
        <v>120.16</v>
      </c>
      <c r="F30" s="8">
        <f t="shared" si="0"/>
        <v>94.499248226414139</v>
      </c>
      <c r="G30" s="7">
        <f t="shared" si="5"/>
        <v>5.7272271652372204</v>
      </c>
      <c r="H30" s="6">
        <f t="shared" si="6"/>
        <v>5.7272271652372204</v>
      </c>
      <c r="I30" s="8">
        <f t="shared" si="1"/>
        <v>25.660751773585858</v>
      </c>
      <c r="J30" s="7">
        <f t="shared" si="7"/>
        <v>1.1935233383063191</v>
      </c>
      <c r="K30" s="5">
        <f t="shared" si="8"/>
        <v>1.1935233383063191</v>
      </c>
      <c r="L30" s="64">
        <f t="shared" si="2"/>
        <v>6.9207505035435393</v>
      </c>
      <c r="M30" s="5">
        <f t="shared" si="3"/>
        <v>6.9207505035435393</v>
      </c>
      <c r="N30" s="12">
        <f t="shared" si="9"/>
        <v>687749.6186616919</v>
      </c>
    </row>
    <row r="31" spans="1:14" x14ac:dyDescent="0.25">
      <c r="A31" s="41" t="s">
        <v>20</v>
      </c>
      <c r="B31" s="219">
        <v>46485.36</v>
      </c>
      <c r="C31" s="236">
        <v>24154.240000000002</v>
      </c>
      <c r="D31" s="14">
        <f t="shared" si="4"/>
        <v>0.51960961472601264</v>
      </c>
      <c r="E31" s="13">
        <v>3817.34</v>
      </c>
      <c r="F31" s="8">
        <f t="shared" si="0"/>
        <v>1983.5265666781972</v>
      </c>
      <c r="G31" s="7">
        <f t="shared" si="5"/>
        <v>120.21373131383014</v>
      </c>
      <c r="H31" s="6">
        <f t="shared" si="6"/>
        <v>120.21373131383014</v>
      </c>
      <c r="I31" s="8">
        <f t="shared" si="1"/>
        <v>1833.8134333218029</v>
      </c>
      <c r="J31" s="7">
        <f t="shared" si="7"/>
        <v>85.293648061479203</v>
      </c>
      <c r="K31" s="5">
        <f t="shared" si="8"/>
        <v>85.293648061479203</v>
      </c>
      <c r="L31" s="64">
        <f t="shared" si="2"/>
        <v>205.50737937530934</v>
      </c>
      <c r="M31" s="5">
        <f t="shared" si="3"/>
        <v>205.50737937530934</v>
      </c>
      <c r="N31" s="12">
        <f t="shared" si="9"/>
        <v>20422296.935161214</v>
      </c>
    </row>
    <row r="32" spans="1:14" x14ac:dyDescent="0.25">
      <c r="A32" s="41" t="s">
        <v>21</v>
      </c>
      <c r="B32" s="219">
        <v>8259.2199999999993</v>
      </c>
      <c r="C32" s="236">
        <v>6117.46</v>
      </c>
      <c r="D32" s="14">
        <f t="shared" si="4"/>
        <v>0.74068253418603702</v>
      </c>
      <c r="E32" s="13">
        <v>593.69000000000005</v>
      </c>
      <c r="F32" s="8">
        <f t="shared" si="0"/>
        <v>439.73581372090837</v>
      </c>
      <c r="G32" s="7">
        <f t="shared" si="5"/>
        <v>26.650655377024748</v>
      </c>
      <c r="H32" s="6">
        <f t="shared" si="6"/>
        <v>26.650655377024748</v>
      </c>
      <c r="I32" s="8">
        <f t="shared" si="1"/>
        <v>153.95418627909169</v>
      </c>
      <c r="J32" s="7">
        <f t="shared" si="7"/>
        <v>7.1606598269344968</v>
      </c>
      <c r="K32" s="5">
        <f t="shared" si="8"/>
        <v>7.1606598269344968</v>
      </c>
      <c r="L32" s="64">
        <f t="shared" si="2"/>
        <v>33.811315203959246</v>
      </c>
      <c r="M32" s="5">
        <f t="shared" si="3"/>
        <v>33.811315203959246</v>
      </c>
      <c r="N32" s="12">
        <f t="shared" si="9"/>
        <v>3359999.6309745517</v>
      </c>
    </row>
    <row r="33" spans="1:14" x14ac:dyDescent="0.25">
      <c r="A33" s="41" t="s">
        <v>22</v>
      </c>
      <c r="B33" s="219">
        <v>4970.04</v>
      </c>
      <c r="C33" s="236">
        <v>3916.87</v>
      </c>
      <c r="D33" s="14">
        <f t="shared" si="4"/>
        <v>0.78809627286701911</v>
      </c>
      <c r="E33" s="13">
        <v>384.01</v>
      </c>
      <c r="F33" s="8">
        <f t="shared" si="0"/>
        <v>302.63684974366402</v>
      </c>
      <c r="G33" s="7">
        <f t="shared" si="5"/>
        <v>18.34162725719176</v>
      </c>
      <c r="H33" s="6">
        <f t="shared" si="6"/>
        <v>18.34162725719176</v>
      </c>
      <c r="I33" s="8">
        <f t="shared" si="1"/>
        <v>81.373150256335975</v>
      </c>
      <c r="J33" s="7">
        <f t="shared" si="7"/>
        <v>3.7847976863412081</v>
      </c>
      <c r="K33" s="5">
        <f t="shared" si="8"/>
        <v>3.7847976863412081</v>
      </c>
      <c r="L33" s="64">
        <f t="shared" si="2"/>
        <v>22.126424943532967</v>
      </c>
      <c r="M33" s="5">
        <f t="shared" si="3"/>
        <v>22.126424943532967</v>
      </c>
      <c r="N33" s="12">
        <f t="shared" si="9"/>
        <v>2198813.5982462834</v>
      </c>
    </row>
    <row r="34" spans="1:14" x14ac:dyDescent="0.25">
      <c r="A34" s="41" t="s">
        <v>23</v>
      </c>
      <c r="B34" s="219">
        <v>6691.02</v>
      </c>
      <c r="C34" s="236">
        <v>5025.46</v>
      </c>
      <c r="D34" s="14">
        <f t="shared" si="4"/>
        <v>0.75107532184928449</v>
      </c>
      <c r="E34" s="13">
        <v>494.16</v>
      </c>
      <c r="F34" s="8">
        <f t="shared" si="0"/>
        <v>371.15138104504246</v>
      </c>
      <c r="G34" s="7">
        <f t="shared" si="5"/>
        <v>22.494023093638937</v>
      </c>
      <c r="H34" s="6">
        <f t="shared" si="6"/>
        <v>22.494023093638937</v>
      </c>
      <c r="I34" s="8">
        <f t="shared" si="1"/>
        <v>123.00861895495757</v>
      </c>
      <c r="J34" s="7">
        <f t="shared" si="7"/>
        <v>5.721331114184073</v>
      </c>
      <c r="K34" s="5">
        <f t="shared" si="8"/>
        <v>5.721331114184073</v>
      </c>
      <c r="L34" s="64">
        <f t="shared" si="2"/>
        <v>28.215354207823012</v>
      </c>
      <c r="M34" s="5">
        <f t="shared" si="3"/>
        <v>28.215354207823012</v>
      </c>
      <c r="N34" s="12">
        <f t="shared" si="9"/>
        <v>2803900.9767653244</v>
      </c>
    </row>
    <row r="35" spans="1:14" x14ac:dyDescent="0.25">
      <c r="A35" s="41" t="s">
        <v>24</v>
      </c>
      <c r="B35" s="219">
        <v>710.4</v>
      </c>
      <c r="C35" s="236">
        <v>656.97</v>
      </c>
      <c r="D35" s="14">
        <f t="shared" si="4"/>
        <v>0.92478885135135147</v>
      </c>
      <c r="E35" s="13">
        <v>55.15</v>
      </c>
      <c r="F35" s="8">
        <f t="shared" si="0"/>
        <v>51.002105152027035</v>
      </c>
      <c r="G35" s="7">
        <f t="shared" si="5"/>
        <v>3.0910366758804262</v>
      </c>
      <c r="H35" s="6">
        <f t="shared" si="6"/>
        <v>3.0910366758804262</v>
      </c>
      <c r="I35" s="8">
        <f t="shared" si="1"/>
        <v>4.1478948479729638</v>
      </c>
      <c r="J35" s="7">
        <f t="shared" si="7"/>
        <v>0.19292534176618437</v>
      </c>
      <c r="K35" s="5">
        <f t="shared" si="8"/>
        <v>0.19292534176618437</v>
      </c>
      <c r="L35" s="64">
        <f t="shared" si="2"/>
        <v>3.2839620176466107</v>
      </c>
      <c r="M35" s="5">
        <f t="shared" si="3"/>
        <v>3.2839620176466107</v>
      </c>
      <c r="N35" s="12">
        <f t="shared" si="9"/>
        <v>326343.74323702685</v>
      </c>
    </row>
    <row r="36" spans="1:14" x14ac:dyDescent="0.25">
      <c r="A36" s="41" t="s">
        <v>25</v>
      </c>
      <c r="B36" s="219">
        <v>2753.54</v>
      </c>
      <c r="C36" s="236">
        <v>2395.11</v>
      </c>
      <c r="D36" s="14">
        <f t="shared" si="4"/>
        <v>0.8698293832666314</v>
      </c>
      <c r="E36" s="13">
        <v>189.14</v>
      </c>
      <c r="F36" s="8">
        <f t="shared" si="0"/>
        <v>164.51952955105065</v>
      </c>
      <c r="G36" s="7">
        <f t="shared" si="5"/>
        <v>9.9708805788515544</v>
      </c>
      <c r="H36" s="6">
        <f t="shared" si="6"/>
        <v>9.9708805788515544</v>
      </c>
      <c r="I36" s="8">
        <f t="shared" si="1"/>
        <v>24.620470448949334</v>
      </c>
      <c r="J36" s="7">
        <f t="shared" si="7"/>
        <v>1.1451381604162481</v>
      </c>
      <c r="K36" s="5">
        <f t="shared" si="8"/>
        <v>1.1451381604162481</v>
      </c>
      <c r="L36" s="64">
        <f t="shared" si="2"/>
        <v>11.116018739267803</v>
      </c>
      <c r="M36" s="5">
        <f t="shared" si="3"/>
        <v>11.116018739267803</v>
      </c>
      <c r="N36" s="12">
        <f t="shared" si="9"/>
        <v>1104654.4222412389</v>
      </c>
    </row>
    <row r="37" spans="1:14" x14ac:dyDescent="0.25">
      <c r="A37" s="41" t="s">
        <v>26</v>
      </c>
      <c r="B37" s="219">
        <v>1253.3399999999999</v>
      </c>
      <c r="C37" s="236">
        <v>789.47</v>
      </c>
      <c r="D37" s="14">
        <f t="shared" si="4"/>
        <v>0.62989292610145697</v>
      </c>
      <c r="E37" s="13">
        <v>79.22</v>
      </c>
      <c r="F37" s="8">
        <f t="shared" si="0"/>
        <v>49.900117605757423</v>
      </c>
      <c r="G37" s="7">
        <f t="shared" si="5"/>
        <v>3.0242495518640862</v>
      </c>
      <c r="H37" s="6">
        <f t="shared" si="6"/>
        <v>3.0242495518640862</v>
      </c>
      <c r="I37" s="8">
        <f t="shared" si="1"/>
        <v>29.319882394242576</v>
      </c>
      <c r="J37" s="7">
        <f t="shared" si="7"/>
        <v>1.3637154601973291</v>
      </c>
      <c r="K37" s="5">
        <f t="shared" si="8"/>
        <v>1.3637154601973291</v>
      </c>
      <c r="L37" s="64">
        <f t="shared" si="2"/>
        <v>4.3879650120614153</v>
      </c>
      <c r="M37" s="5">
        <f t="shared" si="3"/>
        <v>4.3879650120614153</v>
      </c>
      <c r="N37" s="12">
        <f t="shared" si="9"/>
        <v>436054.04676861421</v>
      </c>
    </row>
    <row r="38" spans="1:14" x14ac:dyDescent="0.25">
      <c r="A38" s="41" t="s">
        <v>27</v>
      </c>
      <c r="B38" s="219">
        <v>5263.6</v>
      </c>
      <c r="C38" s="236">
        <v>4431.29</v>
      </c>
      <c r="D38" s="14">
        <f t="shared" si="4"/>
        <v>0.84187438255186553</v>
      </c>
      <c r="E38" s="13">
        <v>382.09</v>
      </c>
      <c r="F38" s="8">
        <f t="shared" si="0"/>
        <v>321.67178282924226</v>
      </c>
      <c r="G38" s="7">
        <f t="shared" si="5"/>
        <v>19.49525956540862</v>
      </c>
      <c r="H38" s="6">
        <f t="shared" si="6"/>
        <v>19.49525956540862</v>
      </c>
      <c r="I38" s="8">
        <f t="shared" si="1"/>
        <v>60.418217170757714</v>
      </c>
      <c r="J38" s="7">
        <f t="shared" si="7"/>
        <v>2.810149635849196</v>
      </c>
      <c r="K38" s="5">
        <f t="shared" si="8"/>
        <v>2.810149635849196</v>
      </c>
      <c r="L38" s="64">
        <f t="shared" si="2"/>
        <v>22.305409201257817</v>
      </c>
      <c r="M38" s="5">
        <f t="shared" si="3"/>
        <v>22.305409201257817</v>
      </c>
      <c r="N38" s="12">
        <f t="shared" si="9"/>
        <v>2216600.1598242051</v>
      </c>
    </row>
    <row r="39" spans="1:14" x14ac:dyDescent="0.25">
      <c r="A39" s="41" t="s">
        <v>28</v>
      </c>
      <c r="B39" s="219">
        <v>9606.7099999999991</v>
      </c>
      <c r="C39" s="236">
        <v>7456.46</v>
      </c>
      <c r="D39" s="14">
        <f t="shared" si="4"/>
        <v>0.77617207139593059</v>
      </c>
      <c r="E39" s="13">
        <v>696.51</v>
      </c>
      <c r="F39" s="8">
        <f t="shared" si="0"/>
        <v>540.61160944797962</v>
      </c>
      <c r="G39" s="7">
        <f t="shared" si="5"/>
        <v>32.76433996654422</v>
      </c>
      <c r="H39" s="6">
        <f t="shared" si="6"/>
        <v>32.76433996654422</v>
      </c>
      <c r="I39" s="8">
        <f t="shared" si="1"/>
        <v>155.89839055202037</v>
      </c>
      <c r="J39" s="7">
        <f t="shared" si="7"/>
        <v>7.2510879326521103</v>
      </c>
      <c r="K39" s="5">
        <f t="shared" si="8"/>
        <v>7.2510879326521103</v>
      </c>
      <c r="L39" s="64">
        <f t="shared" si="2"/>
        <v>40.015427899196332</v>
      </c>
      <c r="M39" s="5">
        <f t="shared" si="3"/>
        <v>40.015427899196332</v>
      </c>
      <c r="N39" s="12">
        <f t="shared" si="9"/>
        <v>3976533.363565946</v>
      </c>
    </row>
    <row r="40" spans="1:14" x14ac:dyDescent="0.25">
      <c r="A40" s="41" t="s">
        <v>29</v>
      </c>
      <c r="B40" s="219">
        <v>1528.03</v>
      </c>
      <c r="C40" s="236">
        <v>1086.46</v>
      </c>
      <c r="D40" s="14">
        <f t="shared" si="4"/>
        <v>0.711020071595453</v>
      </c>
      <c r="E40" s="13">
        <v>117.73</v>
      </c>
      <c r="F40" s="8">
        <f t="shared" si="0"/>
        <v>83.70839302893269</v>
      </c>
      <c r="G40" s="7">
        <f t="shared" si="5"/>
        <v>5.0732359411474359</v>
      </c>
      <c r="H40" s="6">
        <f t="shared" si="6"/>
        <v>5.0732359411474359</v>
      </c>
      <c r="I40" s="8">
        <f t="shared" si="1"/>
        <v>34.021606971067314</v>
      </c>
      <c r="J40" s="7">
        <f t="shared" si="7"/>
        <v>1.582400324235689</v>
      </c>
      <c r="K40" s="5">
        <f t="shared" si="8"/>
        <v>1.582400324235689</v>
      </c>
      <c r="L40" s="64">
        <f t="shared" si="2"/>
        <v>6.6556362653831247</v>
      </c>
      <c r="M40" s="5">
        <f t="shared" si="3"/>
        <v>6.6556362653831247</v>
      </c>
      <c r="N40" s="12">
        <f t="shared" si="9"/>
        <v>661403.8898128838</v>
      </c>
    </row>
    <row r="41" spans="1:14" x14ac:dyDescent="0.25">
      <c r="A41" s="41" t="s">
        <v>30</v>
      </c>
      <c r="B41" s="219">
        <v>3982.19</v>
      </c>
      <c r="C41" s="236">
        <v>3716.77</v>
      </c>
      <c r="D41" s="14">
        <f t="shared" si="4"/>
        <v>0.93334823300746572</v>
      </c>
      <c r="E41" s="13">
        <v>335.98</v>
      </c>
      <c r="F41" s="8">
        <f t="shared" si="0"/>
        <v>313.58633932584837</v>
      </c>
      <c r="G41" s="7">
        <f t="shared" si="5"/>
        <v>19.005232686415052</v>
      </c>
      <c r="H41" s="6">
        <f t="shared" si="6"/>
        <v>19.005232686415052</v>
      </c>
      <c r="I41" s="8">
        <f t="shared" si="1"/>
        <v>22.393660674151647</v>
      </c>
      <c r="J41" s="7">
        <f t="shared" si="7"/>
        <v>1.0415656127512394</v>
      </c>
      <c r="K41" s="5">
        <f t="shared" si="8"/>
        <v>1.0415656127512394</v>
      </c>
      <c r="L41" s="64">
        <f t="shared" si="2"/>
        <v>20.046798299166291</v>
      </c>
      <c r="M41" s="5">
        <f t="shared" si="3"/>
        <v>20.046798299166291</v>
      </c>
      <c r="N41" s="12">
        <f t="shared" si="9"/>
        <v>1992150.6892323608</v>
      </c>
    </row>
    <row r="42" spans="1:14" x14ac:dyDescent="0.25">
      <c r="A42" s="41" t="s">
        <v>31</v>
      </c>
      <c r="B42" s="219">
        <v>25440.37</v>
      </c>
      <c r="C42" s="236">
        <v>13001.24</v>
      </c>
      <c r="D42" s="14">
        <f t="shared" si="4"/>
        <v>0.51104759875740802</v>
      </c>
      <c r="E42" s="13">
        <v>1810.7</v>
      </c>
      <c r="F42" s="8">
        <f t="shared" si="0"/>
        <v>925.3538870700387</v>
      </c>
      <c r="G42" s="7">
        <f t="shared" si="5"/>
        <v>56.082053761820525</v>
      </c>
      <c r="H42" s="6">
        <f t="shared" si="6"/>
        <v>56.082053761820525</v>
      </c>
      <c r="I42" s="8">
        <f t="shared" si="1"/>
        <v>885.34611292996135</v>
      </c>
      <c r="J42" s="7">
        <f t="shared" si="7"/>
        <v>41.178888973486572</v>
      </c>
      <c r="K42" s="5">
        <f t="shared" si="8"/>
        <v>41.178888973486572</v>
      </c>
      <c r="L42" s="64">
        <f t="shared" si="2"/>
        <v>97.260942735307097</v>
      </c>
      <c r="M42" s="5">
        <f t="shared" si="3"/>
        <v>97.260942735307097</v>
      </c>
      <c r="N42" s="12">
        <f t="shared" si="9"/>
        <v>9665306.7095302325</v>
      </c>
    </row>
    <row r="43" spans="1:14" x14ac:dyDescent="0.25">
      <c r="A43" s="41" t="s">
        <v>32</v>
      </c>
      <c r="B43" s="219">
        <v>2145.29</v>
      </c>
      <c r="C43" s="236">
        <v>1651.18</v>
      </c>
      <c r="D43" s="14">
        <f t="shared" si="4"/>
        <v>0.76967682690918249</v>
      </c>
      <c r="E43" s="13">
        <v>162.30000000000001</v>
      </c>
      <c r="F43" s="8">
        <f t="shared" si="0"/>
        <v>124.91854900736033</v>
      </c>
      <c r="G43" s="7">
        <f t="shared" si="5"/>
        <v>7.5708211519612316</v>
      </c>
      <c r="H43" s="6">
        <f t="shared" si="6"/>
        <v>7.5708211519612316</v>
      </c>
      <c r="I43" s="8">
        <f t="shared" si="1"/>
        <v>37.381450992639685</v>
      </c>
      <c r="J43" s="7">
        <f t="shared" si="7"/>
        <v>1.7386721391925435</v>
      </c>
      <c r="K43" s="5">
        <f t="shared" si="8"/>
        <v>1.7386721391925435</v>
      </c>
      <c r="L43" s="64">
        <f t="shared" si="2"/>
        <v>9.3094932911537747</v>
      </c>
      <c r="M43" s="5">
        <f t="shared" si="3"/>
        <v>9.3094932911537747</v>
      </c>
      <c r="N43" s="12">
        <f t="shared" si="9"/>
        <v>925130.94607967022</v>
      </c>
    </row>
    <row r="44" spans="1:14" x14ac:dyDescent="0.25">
      <c r="A44" s="41" t="s">
        <v>33</v>
      </c>
      <c r="B44" s="219">
        <v>3224.83</v>
      </c>
      <c r="C44" s="236">
        <v>2075.11</v>
      </c>
      <c r="D44" s="14">
        <f t="shared" si="4"/>
        <v>0.64347888105729611</v>
      </c>
      <c r="E44" s="13">
        <v>239.16</v>
      </c>
      <c r="F44" s="8">
        <f t="shared" si="0"/>
        <v>153.89440919366294</v>
      </c>
      <c r="G44" s="7">
        <f t="shared" si="5"/>
        <v>9.3269338905250265</v>
      </c>
      <c r="H44" s="6">
        <f t="shared" si="6"/>
        <v>9.3269338905250265</v>
      </c>
      <c r="I44" s="8">
        <f t="shared" si="1"/>
        <v>85.265590806337059</v>
      </c>
      <c r="J44" s="7">
        <f t="shared" si="7"/>
        <v>3.9658414328528866</v>
      </c>
      <c r="K44" s="5">
        <f t="shared" si="8"/>
        <v>3.9658414328528866</v>
      </c>
      <c r="L44" s="64">
        <f t="shared" si="2"/>
        <v>13.292775323377914</v>
      </c>
      <c r="M44" s="5">
        <f t="shared" si="3"/>
        <v>13.292775323377914</v>
      </c>
      <c r="N44" s="12">
        <f t="shared" si="9"/>
        <v>1320969.6195416667</v>
      </c>
    </row>
    <row r="45" spans="1:14" x14ac:dyDescent="0.25">
      <c r="A45" s="41" t="s">
        <v>34</v>
      </c>
      <c r="B45" s="219">
        <v>2373.3200000000002</v>
      </c>
      <c r="C45" s="236">
        <v>2070.19</v>
      </c>
      <c r="D45" s="14">
        <f t="shared" si="4"/>
        <v>0.87227596784251593</v>
      </c>
      <c r="E45" s="13">
        <v>167.58</v>
      </c>
      <c r="F45" s="8">
        <f t="shared" si="0"/>
        <v>146.17600669104883</v>
      </c>
      <c r="G45" s="7">
        <f t="shared" si="5"/>
        <v>8.8591519206696265</v>
      </c>
      <c r="H45" s="6">
        <f t="shared" si="6"/>
        <v>8.8591519206696265</v>
      </c>
      <c r="I45" s="8">
        <f t="shared" si="1"/>
        <v>21.403993308951186</v>
      </c>
      <c r="J45" s="7">
        <f t="shared" si="7"/>
        <v>0.99553457250935751</v>
      </c>
      <c r="K45" s="5">
        <f t="shared" si="8"/>
        <v>0.99553457250935751</v>
      </c>
      <c r="L45" s="64">
        <f t="shared" si="2"/>
        <v>9.8546864931789848</v>
      </c>
      <c r="M45" s="5">
        <f t="shared" si="3"/>
        <v>9.8546864931789848</v>
      </c>
      <c r="N45" s="12">
        <f t="shared" si="9"/>
        <v>979309.52347496874</v>
      </c>
    </row>
    <row r="46" spans="1:14" x14ac:dyDescent="0.25">
      <c r="A46" s="41" t="s">
        <v>35</v>
      </c>
      <c r="B46" s="219">
        <v>15667.43</v>
      </c>
      <c r="C46" s="236">
        <v>10603.64</v>
      </c>
      <c r="D46" s="14">
        <f t="shared" si="4"/>
        <v>0.67679510934467235</v>
      </c>
      <c r="E46" s="13">
        <v>1155.8599999999999</v>
      </c>
      <c r="F46" s="8">
        <f t="shared" si="0"/>
        <v>782.28039508713289</v>
      </c>
      <c r="G46" s="7">
        <f t="shared" si="5"/>
        <v>47.41093303558381</v>
      </c>
      <c r="H46" s="6">
        <f t="shared" si="6"/>
        <v>47.41093303558381</v>
      </c>
      <c r="I46" s="8">
        <f t="shared" si="1"/>
        <v>373.57960491286701</v>
      </c>
      <c r="J46" s="7">
        <f t="shared" si="7"/>
        <v>17.37579557734265</v>
      </c>
      <c r="K46" s="5">
        <f t="shared" si="8"/>
        <v>17.37579557734265</v>
      </c>
      <c r="L46" s="64">
        <f t="shared" si="2"/>
        <v>64.786728612926453</v>
      </c>
      <c r="M46" s="5">
        <f t="shared" si="3"/>
        <v>64.786728612926453</v>
      </c>
      <c r="N46" s="12">
        <f t="shared" si="9"/>
        <v>6438181.5057579</v>
      </c>
    </row>
    <row r="47" spans="1:14" x14ac:dyDescent="0.25">
      <c r="A47" s="41" t="s">
        <v>36</v>
      </c>
      <c r="B47" s="219">
        <v>1091.3900000000001</v>
      </c>
      <c r="C47" s="236">
        <v>772.62</v>
      </c>
      <c r="D47" s="14">
        <f t="shared" si="4"/>
        <v>0.70792292397767975</v>
      </c>
      <c r="E47" s="13">
        <v>83.64</v>
      </c>
      <c r="F47" s="8">
        <f t="shared" ref="F47:F78" si="10">E47*D47</f>
        <v>59.210673361493136</v>
      </c>
      <c r="G47" s="7">
        <f t="shared" si="5"/>
        <v>3.5885256582723111</v>
      </c>
      <c r="H47" s="6">
        <f t="shared" si="6"/>
        <v>3.5885256582723111</v>
      </c>
      <c r="I47" s="8">
        <f t="shared" ref="I47:I78" si="11">E47-F47</f>
        <v>24.429326638506865</v>
      </c>
      <c r="J47" s="7">
        <f t="shared" si="7"/>
        <v>1.1362477506282262</v>
      </c>
      <c r="K47" s="5">
        <f t="shared" si="8"/>
        <v>1.1362477506282262</v>
      </c>
      <c r="L47" s="64">
        <f t="shared" ref="L47:L78" si="12">SUM(G47,J47)</f>
        <v>4.7247734089005373</v>
      </c>
      <c r="M47" s="5">
        <f t="shared" ref="M47:M78" si="13">SUM(H47,K47)</f>
        <v>4.7247734089005373</v>
      </c>
      <c r="N47" s="12">
        <f t="shared" si="9"/>
        <v>469524.38302326726</v>
      </c>
    </row>
    <row r="48" spans="1:14" x14ac:dyDescent="0.25">
      <c r="A48" s="41" t="s">
        <v>37</v>
      </c>
      <c r="B48" s="219">
        <v>3269.06</v>
      </c>
      <c r="C48" s="236">
        <v>2915.7</v>
      </c>
      <c r="D48" s="14">
        <f t="shared" si="4"/>
        <v>0.89190776553504669</v>
      </c>
      <c r="E48" s="13">
        <v>259.95</v>
      </c>
      <c r="F48" s="8">
        <f t="shared" si="10"/>
        <v>231.85142365083539</v>
      </c>
      <c r="G48" s="7">
        <f t="shared" si="5"/>
        <v>14.051601433383963</v>
      </c>
      <c r="H48" s="6">
        <f t="shared" si="6"/>
        <v>14.051601433383963</v>
      </c>
      <c r="I48" s="8">
        <f t="shared" si="11"/>
        <v>28.098576349164603</v>
      </c>
      <c r="J48" s="7">
        <f t="shared" si="7"/>
        <v>1.306910527868121</v>
      </c>
      <c r="K48" s="5">
        <f t="shared" si="8"/>
        <v>1.306910527868121</v>
      </c>
      <c r="L48" s="64">
        <f t="shared" si="12"/>
        <v>15.358511961252084</v>
      </c>
      <c r="M48" s="5">
        <f t="shared" si="13"/>
        <v>15.358511961252084</v>
      </c>
      <c r="N48" s="12">
        <f t="shared" si="9"/>
        <v>1526252.2090853904</v>
      </c>
    </row>
    <row r="49" spans="1:14" x14ac:dyDescent="0.25">
      <c r="A49" s="41" t="s">
        <v>38</v>
      </c>
      <c r="B49" s="219">
        <v>656.05</v>
      </c>
      <c r="C49" s="236">
        <v>619.41</v>
      </c>
      <c r="D49" s="14">
        <f t="shared" si="4"/>
        <v>0.94415059827757031</v>
      </c>
      <c r="E49" s="13">
        <v>47.81</v>
      </c>
      <c r="F49" s="8">
        <f t="shared" si="10"/>
        <v>45.139840103650641</v>
      </c>
      <c r="G49" s="7">
        <f t="shared" si="5"/>
        <v>2.7357478850697357</v>
      </c>
      <c r="H49" s="6">
        <f t="shared" si="6"/>
        <v>2.7357478850697357</v>
      </c>
      <c r="I49" s="8">
        <f t="shared" si="11"/>
        <v>2.6701598963493609</v>
      </c>
      <c r="J49" s="7">
        <f t="shared" si="7"/>
        <v>0.12419348355113306</v>
      </c>
      <c r="K49" s="5">
        <f t="shared" si="8"/>
        <v>0.12419348355113306</v>
      </c>
      <c r="L49" s="64">
        <f t="shared" si="12"/>
        <v>2.8599413686208686</v>
      </c>
      <c r="M49" s="5">
        <f t="shared" si="13"/>
        <v>2.8599413686208686</v>
      </c>
      <c r="N49" s="12">
        <f t="shared" si="9"/>
        <v>284206.68895038217</v>
      </c>
    </row>
    <row r="50" spans="1:14" x14ac:dyDescent="0.25">
      <c r="A50" s="41" t="s">
        <v>39</v>
      </c>
      <c r="B50" s="219">
        <v>1181.8699999999999</v>
      </c>
      <c r="C50" s="236">
        <v>827.32</v>
      </c>
      <c r="D50" s="14">
        <f t="shared" si="4"/>
        <v>0.70000930728421917</v>
      </c>
      <c r="E50" s="13">
        <v>98.99</v>
      </c>
      <c r="F50" s="8">
        <f t="shared" si="10"/>
        <v>69.293921328064854</v>
      </c>
      <c r="G50" s="7">
        <f t="shared" si="5"/>
        <v>4.1996315956402945</v>
      </c>
      <c r="H50" s="6">
        <f t="shared" si="6"/>
        <v>4.1996315956402945</v>
      </c>
      <c r="I50" s="8">
        <f t="shared" si="11"/>
        <v>29.69607867193514</v>
      </c>
      <c r="J50" s="7">
        <f t="shared" si="7"/>
        <v>1.3812129614853554</v>
      </c>
      <c r="K50" s="5">
        <f t="shared" si="8"/>
        <v>1.3812129614853554</v>
      </c>
      <c r="L50" s="64">
        <f t="shared" si="12"/>
        <v>5.5808445571256495</v>
      </c>
      <c r="M50" s="5">
        <f t="shared" si="13"/>
        <v>5.5808445571256495</v>
      </c>
      <c r="N50" s="12">
        <f t="shared" si="9"/>
        <v>554596.45800092199</v>
      </c>
    </row>
    <row r="51" spans="1:14" x14ac:dyDescent="0.25">
      <c r="A51" s="41" t="s">
        <v>40</v>
      </c>
      <c r="B51" s="219">
        <v>8929.7900000000009</v>
      </c>
      <c r="C51" s="236">
        <v>6097.28</v>
      </c>
      <c r="D51" s="14">
        <f t="shared" si="4"/>
        <v>0.68280217115968</v>
      </c>
      <c r="E51" s="13">
        <v>619.83000000000004</v>
      </c>
      <c r="F51" s="8">
        <f t="shared" si="10"/>
        <v>423.22126974990448</v>
      </c>
      <c r="G51" s="7">
        <f t="shared" si="5"/>
        <v>25.649773924236634</v>
      </c>
      <c r="H51" s="6">
        <f t="shared" si="6"/>
        <v>25.649773924236634</v>
      </c>
      <c r="I51" s="8">
        <f t="shared" si="11"/>
        <v>196.60873025009556</v>
      </c>
      <c r="J51" s="7">
        <f t="shared" si="7"/>
        <v>9.144592104655608</v>
      </c>
      <c r="K51" s="5">
        <f t="shared" si="8"/>
        <v>9.144592104655608</v>
      </c>
      <c r="L51" s="64">
        <f t="shared" si="12"/>
        <v>34.794366028892242</v>
      </c>
      <c r="M51" s="5">
        <f t="shared" si="13"/>
        <v>34.794366028892242</v>
      </c>
      <c r="N51" s="12">
        <f t="shared" si="9"/>
        <v>3457690.3120107427</v>
      </c>
    </row>
    <row r="52" spans="1:14" x14ac:dyDescent="0.25">
      <c r="A52" s="41" t="s">
        <v>41</v>
      </c>
      <c r="B52" s="219">
        <v>74161.66</v>
      </c>
      <c r="C52" s="236">
        <v>40174.94</v>
      </c>
      <c r="D52" s="14">
        <f t="shared" si="4"/>
        <v>0.54172115349090078</v>
      </c>
      <c r="E52" s="13">
        <v>5532.3</v>
      </c>
      <c r="F52" s="8">
        <f t="shared" si="10"/>
        <v>2996.9639374577105</v>
      </c>
      <c r="G52" s="7">
        <f t="shared" si="5"/>
        <v>181.63417802774003</v>
      </c>
      <c r="H52" s="6">
        <f t="shared" si="6"/>
        <v>181.63417802774003</v>
      </c>
      <c r="I52" s="8">
        <f t="shared" si="11"/>
        <v>2535.3360625422897</v>
      </c>
      <c r="J52" s="7">
        <f t="shared" si="7"/>
        <v>117.9226075601065</v>
      </c>
      <c r="K52" s="5">
        <f t="shared" si="8"/>
        <v>117.9226075601065</v>
      </c>
      <c r="L52" s="64">
        <f t="shared" si="12"/>
        <v>299.55678558784655</v>
      </c>
      <c r="M52" s="5">
        <f t="shared" si="13"/>
        <v>299.55678558784655</v>
      </c>
      <c r="N52" s="12">
        <f t="shared" si="9"/>
        <v>29768457.185398892</v>
      </c>
    </row>
    <row r="53" spans="1:14" x14ac:dyDescent="0.25">
      <c r="A53" s="41" t="s">
        <v>42</v>
      </c>
      <c r="B53" s="219">
        <v>8515.0300000000007</v>
      </c>
      <c r="C53" s="236">
        <v>6247.89</v>
      </c>
      <c r="D53" s="14">
        <f t="shared" si="4"/>
        <v>0.73374844245997961</v>
      </c>
      <c r="E53" s="13">
        <v>649.67999999999995</v>
      </c>
      <c r="F53" s="8">
        <f t="shared" si="10"/>
        <v>476.70168809739954</v>
      </c>
      <c r="G53" s="7">
        <f t="shared" si="5"/>
        <v>28.891011399842398</v>
      </c>
      <c r="H53" s="6">
        <f t="shared" si="6"/>
        <v>28.891011399842398</v>
      </c>
      <c r="I53" s="8">
        <f t="shared" si="11"/>
        <v>172.97831190260041</v>
      </c>
      <c r="J53" s="7">
        <f t="shared" si="7"/>
        <v>8.0455028791907175</v>
      </c>
      <c r="K53" s="5">
        <f t="shared" si="8"/>
        <v>8.0455028791907175</v>
      </c>
      <c r="L53" s="64">
        <f t="shared" si="12"/>
        <v>36.936514279033119</v>
      </c>
      <c r="M53" s="5">
        <f t="shared" si="13"/>
        <v>36.936514279033119</v>
      </c>
      <c r="N53" s="12">
        <f t="shared" si="9"/>
        <v>3670566.305936093</v>
      </c>
    </row>
    <row r="54" spans="1:14" x14ac:dyDescent="0.25">
      <c r="A54" s="41" t="s">
        <v>43</v>
      </c>
      <c r="B54" s="219">
        <v>898.58</v>
      </c>
      <c r="C54" s="236">
        <v>677.73</v>
      </c>
      <c r="D54" s="14">
        <f t="shared" si="4"/>
        <v>0.75422333014311471</v>
      </c>
      <c r="E54" s="13">
        <v>74.849999999999994</v>
      </c>
      <c r="F54" s="8">
        <f t="shared" si="10"/>
        <v>56.453616261212133</v>
      </c>
      <c r="G54" s="7">
        <f t="shared" si="5"/>
        <v>3.4214312885583111</v>
      </c>
      <c r="H54" s="6">
        <f t="shared" si="6"/>
        <v>3.4214312885583111</v>
      </c>
      <c r="I54" s="8">
        <f t="shared" si="11"/>
        <v>18.396383738787861</v>
      </c>
      <c r="J54" s="7">
        <f t="shared" si="7"/>
        <v>0.85564575529245868</v>
      </c>
      <c r="K54" s="5">
        <f t="shared" si="8"/>
        <v>0.85564575529245868</v>
      </c>
      <c r="L54" s="64">
        <f t="shared" si="12"/>
        <v>4.2770770438507695</v>
      </c>
      <c r="M54" s="5">
        <f t="shared" si="13"/>
        <v>4.2770770438507695</v>
      </c>
      <c r="N54" s="12">
        <f t="shared" si="9"/>
        <v>425034.55432888621</v>
      </c>
    </row>
    <row r="55" spans="1:14" x14ac:dyDescent="0.25">
      <c r="A55" s="41" t="s">
        <v>44</v>
      </c>
      <c r="B55" s="219">
        <v>1516.32</v>
      </c>
      <c r="C55" s="236">
        <v>927.29</v>
      </c>
      <c r="D55" s="14">
        <f t="shared" si="4"/>
        <v>0.61153978052126201</v>
      </c>
      <c r="E55" s="13">
        <v>105.38</v>
      </c>
      <c r="F55" s="8">
        <f t="shared" si="10"/>
        <v>64.444062071330592</v>
      </c>
      <c r="G55" s="7">
        <f t="shared" si="5"/>
        <v>3.9057007315957932</v>
      </c>
      <c r="H55" s="6">
        <f t="shared" si="6"/>
        <v>3.9057007315957932</v>
      </c>
      <c r="I55" s="8">
        <f t="shared" si="11"/>
        <v>40.935937928669404</v>
      </c>
      <c r="J55" s="7">
        <f t="shared" si="7"/>
        <v>1.9039971129613675</v>
      </c>
      <c r="K55" s="5">
        <f t="shared" si="8"/>
        <v>1.9039971129613675</v>
      </c>
      <c r="L55" s="64">
        <f t="shared" si="12"/>
        <v>5.809697844557161</v>
      </c>
      <c r="M55" s="5">
        <f t="shared" si="13"/>
        <v>5.809697844557161</v>
      </c>
      <c r="N55" s="12">
        <f t="shared" si="9"/>
        <v>577338.75467523618</v>
      </c>
    </row>
    <row r="56" spans="1:14" x14ac:dyDescent="0.25">
      <c r="A56" s="41" t="s">
        <v>45</v>
      </c>
      <c r="B56" s="219">
        <v>2087.65</v>
      </c>
      <c r="C56" s="236">
        <v>1641.59</v>
      </c>
      <c r="D56" s="14">
        <f t="shared" si="4"/>
        <v>0.78633391612578729</v>
      </c>
      <c r="E56" s="13">
        <v>146.83000000000001</v>
      </c>
      <c r="F56" s="8">
        <f t="shared" si="10"/>
        <v>115.45740890474936</v>
      </c>
      <c r="G56" s="7">
        <f t="shared" si="5"/>
        <v>6.9974187214999608</v>
      </c>
      <c r="H56" s="6">
        <f t="shared" si="6"/>
        <v>6.9974187214999608</v>
      </c>
      <c r="I56" s="8">
        <f t="shared" si="11"/>
        <v>31.372591095250655</v>
      </c>
      <c r="J56" s="7">
        <f t="shared" si="7"/>
        <v>1.4591902835000305</v>
      </c>
      <c r="K56" s="5">
        <f t="shared" si="8"/>
        <v>1.4591902835000305</v>
      </c>
      <c r="L56" s="64">
        <f t="shared" si="12"/>
        <v>8.4566090049999918</v>
      </c>
      <c r="M56" s="5">
        <f t="shared" si="13"/>
        <v>8.4566090049999918</v>
      </c>
      <c r="N56" s="12">
        <f t="shared" si="9"/>
        <v>840375.56553756283</v>
      </c>
    </row>
    <row r="57" spans="1:14" x14ac:dyDescent="0.25">
      <c r="A57" s="41" t="s">
        <v>46</v>
      </c>
      <c r="B57" s="219">
        <v>662.1</v>
      </c>
      <c r="C57" s="236">
        <v>607.41</v>
      </c>
      <c r="D57" s="14">
        <f t="shared" si="4"/>
        <v>0.91739918441323054</v>
      </c>
      <c r="E57" s="13">
        <v>54.99</v>
      </c>
      <c r="F57" s="8">
        <f t="shared" si="10"/>
        <v>50.44778115088355</v>
      </c>
      <c r="G57" s="7">
        <f t="shared" si="5"/>
        <v>3.0574412818717303</v>
      </c>
      <c r="H57" s="6">
        <f t="shared" si="6"/>
        <v>3.0574412818717303</v>
      </c>
      <c r="I57" s="8">
        <f t="shared" si="11"/>
        <v>4.5422188491164519</v>
      </c>
      <c r="J57" s="7">
        <f t="shared" si="7"/>
        <v>0.21126599298216056</v>
      </c>
      <c r="K57" s="5">
        <f t="shared" si="8"/>
        <v>0.21126599298216056</v>
      </c>
      <c r="L57" s="64">
        <f t="shared" si="12"/>
        <v>3.2687072748538908</v>
      </c>
      <c r="M57" s="5">
        <f t="shared" si="13"/>
        <v>3.2687072748538908</v>
      </c>
      <c r="N57" s="12">
        <f t="shared" si="9"/>
        <v>324827.80308962468</v>
      </c>
    </row>
    <row r="58" spans="1:14" x14ac:dyDescent="0.25">
      <c r="A58" s="41" t="s">
        <v>47</v>
      </c>
      <c r="B58" s="219">
        <v>43529.94</v>
      </c>
      <c r="C58" s="236">
        <v>28552.12</v>
      </c>
      <c r="D58" s="14">
        <f t="shared" si="4"/>
        <v>0.65591912141390496</v>
      </c>
      <c r="E58" s="13">
        <v>3038.5</v>
      </c>
      <c r="F58" s="8">
        <f t="shared" si="10"/>
        <v>1993.0102504161503</v>
      </c>
      <c r="G58" s="7">
        <f t="shared" si="5"/>
        <v>120.78850002522123</v>
      </c>
      <c r="H58" s="6">
        <f t="shared" si="6"/>
        <v>120.78850002522123</v>
      </c>
      <c r="I58" s="8">
        <f t="shared" si="11"/>
        <v>1045.4897495838497</v>
      </c>
      <c r="J58" s="7">
        <f t="shared" si="7"/>
        <v>48.627430213202317</v>
      </c>
      <c r="K58" s="5">
        <f t="shared" si="8"/>
        <v>48.627430213202317</v>
      </c>
      <c r="L58" s="64">
        <f t="shared" si="12"/>
        <v>169.41593023842353</v>
      </c>
      <c r="M58" s="5">
        <f t="shared" si="13"/>
        <v>169.41593023842353</v>
      </c>
      <c r="N58" s="12">
        <f t="shared" si="9"/>
        <v>16835708.982289359</v>
      </c>
    </row>
    <row r="59" spans="1:14" x14ac:dyDescent="0.25">
      <c r="A59" s="41" t="s">
        <v>48</v>
      </c>
      <c r="B59" s="219">
        <v>2404.8000000000002</v>
      </c>
      <c r="C59" s="236">
        <v>2167.39</v>
      </c>
      <c r="D59" s="14">
        <f t="shared" si="4"/>
        <v>0.90127661343978693</v>
      </c>
      <c r="E59" s="13">
        <v>233.54</v>
      </c>
      <c r="F59" s="8">
        <f t="shared" si="10"/>
        <v>210.48414030272784</v>
      </c>
      <c r="G59" s="7">
        <f t="shared" si="5"/>
        <v>12.756614563801687</v>
      </c>
      <c r="H59" s="6">
        <f t="shared" si="6"/>
        <v>12.756614563801687</v>
      </c>
      <c r="I59" s="8">
        <f t="shared" si="11"/>
        <v>23.055859697272155</v>
      </c>
      <c r="J59" s="7">
        <f t="shared" si="7"/>
        <v>1.0723655673149839</v>
      </c>
      <c r="K59" s="5">
        <f t="shared" si="8"/>
        <v>1.0723655673149839</v>
      </c>
      <c r="L59" s="64">
        <f t="shared" si="12"/>
        <v>13.828980131116671</v>
      </c>
      <c r="M59" s="5">
        <f t="shared" si="13"/>
        <v>13.828980131116671</v>
      </c>
      <c r="N59" s="12">
        <f t="shared" si="9"/>
        <v>1374254.9752062117</v>
      </c>
    </row>
    <row r="60" spans="1:14" x14ac:dyDescent="0.25">
      <c r="A60" s="41" t="s">
        <v>49</v>
      </c>
      <c r="B60" s="219">
        <v>10525.82</v>
      </c>
      <c r="C60" s="236">
        <v>6404.09</v>
      </c>
      <c r="D60" s="14">
        <f t="shared" si="4"/>
        <v>0.60841720645042385</v>
      </c>
      <c r="E60" s="13">
        <v>716.78</v>
      </c>
      <c r="F60" s="8">
        <f t="shared" si="10"/>
        <v>436.10128523953477</v>
      </c>
      <c r="G60" s="7">
        <f t="shared" si="5"/>
        <v>26.430380923608169</v>
      </c>
      <c r="H60" s="6">
        <f t="shared" si="6"/>
        <v>26.430380923608169</v>
      </c>
      <c r="I60" s="8">
        <f t="shared" si="11"/>
        <v>280.6787147604652</v>
      </c>
      <c r="J60" s="7">
        <f t="shared" si="7"/>
        <v>13.054823942347218</v>
      </c>
      <c r="K60" s="5">
        <f t="shared" si="8"/>
        <v>13.054823942347218</v>
      </c>
      <c r="L60" s="64">
        <f t="shared" si="12"/>
        <v>39.485204865955389</v>
      </c>
      <c r="M60" s="5">
        <f t="shared" si="13"/>
        <v>39.485204865955389</v>
      </c>
      <c r="N60" s="12">
        <f t="shared" si="9"/>
        <v>3923842.4467744231</v>
      </c>
    </row>
    <row r="61" spans="1:14" x14ac:dyDescent="0.25">
      <c r="A61" s="41" t="s">
        <v>50</v>
      </c>
      <c r="B61" s="219">
        <v>13258.42</v>
      </c>
      <c r="C61" s="236">
        <v>7286.27</v>
      </c>
      <c r="D61" s="14">
        <f t="shared" si="4"/>
        <v>0.54955794129315561</v>
      </c>
      <c r="E61" s="13">
        <v>1075.01</v>
      </c>
      <c r="F61" s="8">
        <f t="shared" si="10"/>
        <v>590.78028246955523</v>
      </c>
      <c r="G61" s="7">
        <f t="shared" si="5"/>
        <v>35.804865604215472</v>
      </c>
      <c r="H61" s="6">
        <f t="shared" si="6"/>
        <v>35.804865604215472</v>
      </c>
      <c r="I61" s="8">
        <f t="shared" si="11"/>
        <v>484.22971753044476</v>
      </c>
      <c r="J61" s="7">
        <f t="shared" si="7"/>
        <v>22.522312443276501</v>
      </c>
      <c r="K61" s="5">
        <f t="shared" si="8"/>
        <v>22.522312443276501</v>
      </c>
      <c r="L61" s="64">
        <f t="shared" si="12"/>
        <v>58.327178047491969</v>
      </c>
      <c r="M61" s="5">
        <f t="shared" si="13"/>
        <v>58.327178047491969</v>
      </c>
      <c r="N61" s="12">
        <f t="shared" si="9"/>
        <v>5796263.6334362756</v>
      </c>
    </row>
    <row r="62" spans="1:14" x14ac:dyDescent="0.25">
      <c r="A62" s="41" t="s">
        <v>51</v>
      </c>
      <c r="B62" s="219">
        <v>5388.16</v>
      </c>
      <c r="C62" s="236">
        <v>4016.61</v>
      </c>
      <c r="D62" s="14">
        <f t="shared" si="4"/>
        <v>0.74545113730846901</v>
      </c>
      <c r="E62" s="13">
        <v>406.98</v>
      </c>
      <c r="F62" s="8">
        <f t="shared" si="10"/>
        <v>303.38370386180071</v>
      </c>
      <c r="G62" s="7">
        <f t="shared" si="5"/>
        <v>18.386891143139437</v>
      </c>
      <c r="H62" s="6">
        <f t="shared" si="6"/>
        <v>18.386891143139437</v>
      </c>
      <c r="I62" s="8">
        <f t="shared" si="11"/>
        <v>103.59629613819931</v>
      </c>
      <c r="J62" s="7">
        <f t="shared" si="7"/>
        <v>4.8184323785208978</v>
      </c>
      <c r="K62" s="5">
        <f t="shared" si="8"/>
        <v>4.8184323785208978</v>
      </c>
      <c r="L62" s="64">
        <f t="shared" si="12"/>
        <v>23.205323521660333</v>
      </c>
      <c r="M62" s="5">
        <f t="shared" si="13"/>
        <v>23.205323521660333</v>
      </c>
      <c r="N62" s="12">
        <f t="shared" si="9"/>
        <v>2306029.1502737422</v>
      </c>
    </row>
    <row r="63" spans="1:14" x14ac:dyDescent="0.25">
      <c r="A63" s="41" t="s">
        <v>52</v>
      </c>
      <c r="B63" s="219">
        <v>2979.52</v>
      </c>
      <c r="C63" s="236">
        <v>2390.0300000000002</v>
      </c>
      <c r="D63" s="14">
        <f t="shared" si="4"/>
        <v>0.80215269573622605</v>
      </c>
      <c r="E63" s="13">
        <v>220.73</v>
      </c>
      <c r="F63" s="8">
        <f t="shared" si="10"/>
        <v>177.05916452985716</v>
      </c>
      <c r="G63" s="7">
        <f t="shared" si="5"/>
        <v>10.73085845635498</v>
      </c>
      <c r="H63" s="6">
        <f t="shared" si="6"/>
        <v>10.73085845635498</v>
      </c>
      <c r="I63" s="8">
        <f t="shared" si="11"/>
        <v>43.670835470142833</v>
      </c>
      <c r="J63" s="7">
        <f t="shared" si="7"/>
        <v>2.0312016497740855</v>
      </c>
      <c r="K63" s="5">
        <f t="shared" si="8"/>
        <v>2.0312016497740855</v>
      </c>
      <c r="L63" s="64">
        <f t="shared" si="12"/>
        <v>12.762060106129066</v>
      </c>
      <c r="M63" s="5">
        <f t="shared" si="13"/>
        <v>12.762060106129066</v>
      </c>
      <c r="N63" s="12">
        <f t="shared" si="9"/>
        <v>1268229.7919617007</v>
      </c>
    </row>
    <row r="64" spans="1:14" x14ac:dyDescent="0.25">
      <c r="A64" s="41" t="s">
        <v>53</v>
      </c>
      <c r="B64" s="219">
        <v>1729.85</v>
      </c>
      <c r="C64" s="236">
        <v>1597.53</v>
      </c>
      <c r="D64" s="14">
        <f t="shared" si="4"/>
        <v>0.92350781859698816</v>
      </c>
      <c r="E64" s="13">
        <v>107.1</v>
      </c>
      <c r="F64" s="8">
        <f t="shared" si="10"/>
        <v>98.907687371737424</v>
      </c>
      <c r="G64" s="7">
        <f t="shared" si="5"/>
        <v>5.9944052952568132</v>
      </c>
      <c r="H64" s="6">
        <f t="shared" si="6"/>
        <v>5.9944052952568132</v>
      </c>
      <c r="I64" s="8">
        <f t="shared" si="11"/>
        <v>8.1923126282625702</v>
      </c>
      <c r="J64" s="7">
        <f t="shared" si="7"/>
        <v>0.38103779666337534</v>
      </c>
      <c r="K64" s="5">
        <f t="shared" si="8"/>
        <v>0.38103779666337534</v>
      </c>
      <c r="L64" s="64">
        <f t="shared" si="12"/>
        <v>6.3754430919201885</v>
      </c>
      <c r="M64" s="5">
        <f t="shared" si="13"/>
        <v>6.3754430919201885</v>
      </c>
      <c r="N64" s="12">
        <f t="shared" si="9"/>
        <v>633559.69168696145</v>
      </c>
    </row>
    <row r="65" spans="1:14" x14ac:dyDescent="0.25">
      <c r="A65" s="41" t="s">
        <v>54</v>
      </c>
      <c r="B65" s="219">
        <v>25998.85</v>
      </c>
      <c r="C65" s="236">
        <v>11560.42</v>
      </c>
      <c r="D65" s="14">
        <f t="shared" si="4"/>
        <v>0.44465120572640715</v>
      </c>
      <c r="E65" s="13">
        <v>1935.1</v>
      </c>
      <c r="F65" s="8">
        <f t="shared" si="10"/>
        <v>860.44454820117039</v>
      </c>
      <c r="G65" s="7">
        <f t="shared" si="5"/>
        <v>52.148154436434567</v>
      </c>
      <c r="H65" s="6">
        <f t="shared" si="6"/>
        <v>52.148154436434567</v>
      </c>
      <c r="I65" s="8">
        <f t="shared" si="11"/>
        <v>1074.6554517988295</v>
      </c>
      <c r="J65" s="7">
        <f t="shared" si="7"/>
        <v>49.983974502271138</v>
      </c>
      <c r="K65" s="5">
        <f t="shared" si="8"/>
        <v>49.983974502271138</v>
      </c>
      <c r="L65" s="64">
        <f t="shared" si="12"/>
        <v>102.1321289387057</v>
      </c>
      <c r="M65" s="5">
        <f t="shared" si="13"/>
        <v>102.1321289387057</v>
      </c>
      <c r="N65" s="12">
        <f t="shared" si="9"/>
        <v>10149380.864797376</v>
      </c>
    </row>
    <row r="66" spans="1:14" x14ac:dyDescent="0.25">
      <c r="A66" s="41" t="s">
        <v>55</v>
      </c>
      <c r="B66" s="219">
        <v>8632.56</v>
      </c>
      <c r="C66" s="236">
        <v>6583.08</v>
      </c>
      <c r="D66" s="14">
        <f t="shared" si="4"/>
        <v>0.76258722789068367</v>
      </c>
      <c r="E66" s="13">
        <v>626.78</v>
      </c>
      <c r="F66" s="8">
        <f t="shared" si="10"/>
        <v>477.97442269732267</v>
      </c>
      <c r="G66" s="7">
        <f t="shared" si="5"/>
        <v>28.968146830140768</v>
      </c>
      <c r="H66" s="6">
        <f t="shared" si="6"/>
        <v>28.968146830140768</v>
      </c>
      <c r="I66" s="8">
        <f t="shared" si="11"/>
        <v>148.80557730267731</v>
      </c>
      <c r="J66" s="7">
        <f t="shared" si="7"/>
        <v>6.9211896419849914</v>
      </c>
      <c r="K66" s="5">
        <f t="shared" si="8"/>
        <v>6.9211896419849914</v>
      </c>
      <c r="L66" s="64">
        <f t="shared" si="12"/>
        <v>35.889336472125763</v>
      </c>
      <c r="M66" s="5">
        <f t="shared" si="13"/>
        <v>35.889336472125763</v>
      </c>
      <c r="N66" s="12">
        <f t="shared" si="9"/>
        <v>3566503.0057199141</v>
      </c>
    </row>
    <row r="67" spans="1:14" x14ac:dyDescent="0.25">
      <c r="A67" s="41" t="s">
        <v>56</v>
      </c>
      <c r="B67" s="219">
        <v>1939.18</v>
      </c>
      <c r="C67" s="236">
        <v>1384.39</v>
      </c>
      <c r="D67" s="14">
        <f t="shared" si="4"/>
        <v>0.71390484637836615</v>
      </c>
      <c r="E67" s="13">
        <v>132.51</v>
      </c>
      <c r="F67" s="8">
        <f t="shared" si="10"/>
        <v>94.599531193597286</v>
      </c>
      <c r="G67" s="7">
        <f t="shared" si="5"/>
        <v>5.7333049208240778</v>
      </c>
      <c r="H67" s="6">
        <f t="shared" si="6"/>
        <v>5.7333049208240778</v>
      </c>
      <c r="I67" s="8">
        <f t="shared" si="11"/>
        <v>37.910468806402704</v>
      </c>
      <c r="J67" s="7">
        <f t="shared" si="7"/>
        <v>1.7632776189024513</v>
      </c>
      <c r="K67" s="5">
        <f t="shared" si="8"/>
        <v>1.7632776189024513</v>
      </c>
      <c r="L67" s="64">
        <f t="shared" si="12"/>
        <v>7.4965825397265293</v>
      </c>
      <c r="M67" s="5">
        <f t="shared" si="13"/>
        <v>7.4965825397265293</v>
      </c>
      <c r="N67" s="12">
        <f t="shared" si="9"/>
        <v>744972.93036686955</v>
      </c>
    </row>
    <row r="68" spans="1:14" x14ac:dyDescent="0.25">
      <c r="A68" s="41" t="s">
        <v>57</v>
      </c>
      <c r="B68" s="219">
        <v>3124.12</v>
      </c>
      <c r="C68" s="236">
        <v>2504.67</v>
      </c>
      <c r="D68" s="14">
        <f t="shared" si="4"/>
        <v>0.80172016439829463</v>
      </c>
      <c r="E68" s="13">
        <v>256.58</v>
      </c>
      <c r="F68" s="8">
        <f t="shared" si="10"/>
        <v>205.70535978131443</v>
      </c>
      <c r="G68" s="7">
        <f t="shared" si="5"/>
        <v>12.466991501897844</v>
      </c>
      <c r="H68" s="6">
        <f t="shared" si="6"/>
        <v>12.466991501897844</v>
      </c>
      <c r="I68" s="8">
        <f t="shared" si="11"/>
        <v>50.874640218685556</v>
      </c>
      <c r="J68" s="7">
        <f t="shared" si="7"/>
        <v>2.3662623357528165</v>
      </c>
      <c r="K68" s="5">
        <f t="shared" si="8"/>
        <v>2.3662623357528165</v>
      </c>
      <c r="L68" s="64">
        <f t="shared" si="12"/>
        <v>14.833253837650661</v>
      </c>
      <c r="M68" s="5">
        <f t="shared" si="13"/>
        <v>14.833253837650661</v>
      </c>
      <c r="N68" s="12">
        <f t="shared" si="9"/>
        <v>1474054.6802161052</v>
      </c>
    </row>
    <row r="69" spans="1:14" x14ac:dyDescent="0.25">
      <c r="A69" s="41" t="s">
        <v>58</v>
      </c>
      <c r="B69" s="219">
        <v>16899.259999999998</v>
      </c>
      <c r="C69" s="236">
        <v>7185.6</v>
      </c>
      <c r="D69" s="14">
        <f t="shared" si="4"/>
        <v>0.42520205026728985</v>
      </c>
      <c r="E69" s="13">
        <v>1096.28</v>
      </c>
      <c r="F69" s="8">
        <f t="shared" si="10"/>
        <v>466.14050366702452</v>
      </c>
      <c r="G69" s="7">
        <f t="shared" si="5"/>
        <v>28.250939616183302</v>
      </c>
      <c r="H69" s="6">
        <f t="shared" si="6"/>
        <v>28.250939616183302</v>
      </c>
      <c r="I69" s="8">
        <f t="shared" si="11"/>
        <v>630.13949633297545</v>
      </c>
      <c r="J69" s="7">
        <f t="shared" si="7"/>
        <v>29.308813782929089</v>
      </c>
      <c r="K69" s="5">
        <f t="shared" si="8"/>
        <v>29.308813782929089</v>
      </c>
      <c r="L69" s="64">
        <f t="shared" si="12"/>
        <v>57.559753399112395</v>
      </c>
      <c r="M69" s="5">
        <f t="shared" si="13"/>
        <v>57.559753399112395</v>
      </c>
      <c r="N69" s="12">
        <f t="shared" si="9"/>
        <v>5720000.8048594622</v>
      </c>
    </row>
    <row r="70" spans="1:14" x14ac:dyDescent="0.25">
      <c r="A70" s="41" t="s">
        <v>59</v>
      </c>
      <c r="B70" s="219">
        <v>4230.8599999999997</v>
      </c>
      <c r="C70" s="236">
        <v>3894.1</v>
      </c>
      <c r="D70" s="14">
        <f t="shared" si="4"/>
        <v>0.92040388951655228</v>
      </c>
      <c r="E70" s="13">
        <v>321.92</v>
      </c>
      <c r="F70" s="8">
        <f t="shared" si="10"/>
        <v>296.29642011316855</v>
      </c>
      <c r="G70" s="7">
        <f t="shared" si="5"/>
        <v>17.957358794737488</v>
      </c>
      <c r="H70" s="6">
        <f t="shared" si="6"/>
        <v>17.957358794737488</v>
      </c>
      <c r="I70" s="8">
        <f t="shared" si="11"/>
        <v>25.623579886831465</v>
      </c>
      <c r="J70" s="7">
        <f t="shared" si="7"/>
        <v>1.1917944133409983</v>
      </c>
      <c r="K70" s="5">
        <f t="shared" si="8"/>
        <v>1.1917944133409983</v>
      </c>
      <c r="L70" s="64">
        <f t="shared" si="12"/>
        <v>19.149153208078484</v>
      </c>
      <c r="M70" s="5">
        <f t="shared" si="13"/>
        <v>19.149153208078484</v>
      </c>
      <c r="N70" s="12">
        <f t="shared" si="9"/>
        <v>1902947.2034582265</v>
      </c>
    </row>
    <row r="71" spans="1:14" x14ac:dyDescent="0.25">
      <c r="A71" s="41" t="s">
        <v>60</v>
      </c>
      <c r="B71" s="219">
        <v>3684.37</v>
      </c>
      <c r="C71" s="236">
        <v>3216.9</v>
      </c>
      <c r="D71" s="14">
        <f t="shared" si="4"/>
        <v>0.87312077777204788</v>
      </c>
      <c r="E71" s="13">
        <v>272.33</v>
      </c>
      <c r="F71" s="8">
        <f t="shared" si="10"/>
        <v>237.77698141066179</v>
      </c>
      <c r="G71" s="7">
        <f t="shared" si="5"/>
        <v>14.410726146100714</v>
      </c>
      <c r="H71" s="6">
        <f t="shared" si="6"/>
        <v>14.410726146100714</v>
      </c>
      <c r="I71" s="8">
        <f t="shared" si="11"/>
        <v>34.553018589338194</v>
      </c>
      <c r="J71" s="7">
        <f t="shared" si="7"/>
        <v>1.6071171436901486</v>
      </c>
      <c r="K71" s="5">
        <f t="shared" si="8"/>
        <v>1.6071171436901486</v>
      </c>
      <c r="L71" s="64">
        <f t="shared" si="12"/>
        <v>16.017843289790864</v>
      </c>
      <c r="M71" s="5">
        <f t="shared" si="13"/>
        <v>16.017843289790864</v>
      </c>
      <c r="N71" s="12">
        <f t="shared" si="9"/>
        <v>1591773.2634193208</v>
      </c>
    </row>
    <row r="72" spans="1:14" x14ac:dyDescent="0.25">
      <c r="A72" s="41" t="s">
        <v>61</v>
      </c>
      <c r="B72" s="219">
        <v>665.85</v>
      </c>
      <c r="C72" s="236">
        <v>557.95000000000005</v>
      </c>
      <c r="D72" s="14">
        <f t="shared" si="4"/>
        <v>0.83795149057595564</v>
      </c>
      <c r="E72" s="13">
        <v>41.76</v>
      </c>
      <c r="F72" s="8">
        <f t="shared" si="10"/>
        <v>34.992854246451905</v>
      </c>
      <c r="G72" s="7">
        <f t="shared" si="5"/>
        <v>2.1207790452395092</v>
      </c>
      <c r="H72" s="6">
        <f t="shared" si="6"/>
        <v>2.1207790452395092</v>
      </c>
      <c r="I72" s="8">
        <f t="shared" si="11"/>
        <v>6.7671457535480926</v>
      </c>
      <c r="J72" s="7">
        <f t="shared" si="7"/>
        <v>0.31475096528130664</v>
      </c>
      <c r="K72" s="5">
        <f t="shared" si="8"/>
        <v>0.31475096528130664</v>
      </c>
      <c r="L72" s="64">
        <f t="shared" si="12"/>
        <v>2.4355300105208157</v>
      </c>
      <c r="M72" s="5">
        <f t="shared" si="13"/>
        <v>2.4355300105208157</v>
      </c>
      <c r="N72" s="12">
        <f t="shared" si="9"/>
        <v>242030.8079473681</v>
      </c>
    </row>
    <row r="73" spans="1:14" x14ac:dyDescent="0.25">
      <c r="A73" s="41" t="s">
        <v>62</v>
      </c>
      <c r="B73" s="219">
        <v>5751.42</v>
      </c>
      <c r="C73" s="236">
        <v>4084.96</v>
      </c>
      <c r="D73" s="14">
        <f t="shared" si="4"/>
        <v>0.71025242461861593</v>
      </c>
      <c r="E73" s="13">
        <v>508.13</v>
      </c>
      <c r="F73" s="8">
        <f t="shared" si="10"/>
        <v>360.90056452145728</v>
      </c>
      <c r="G73" s="7">
        <f t="shared" si="5"/>
        <v>21.872761486148928</v>
      </c>
      <c r="H73" s="6">
        <f t="shared" si="6"/>
        <v>21.872761486148928</v>
      </c>
      <c r="I73" s="8">
        <f t="shared" si="11"/>
        <v>147.22943547854271</v>
      </c>
      <c r="J73" s="7">
        <f t="shared" si="7"/>
        <v>6.8478807199322196</v>
      </c>
      <c r="K73" s="5">
        <f t="shared" si="8"/>
        <v>6.8478807199322196</v>
      </c>
      <c r="L73" s="64">
        <f t="shared" si="12"/>
        <v>28.720642206081148</v>
      </c>
      <c r="M73" s="5">
        <f t="shared" si="13"/>
        <v>28.720642206081148</v>
      </c>
      <c r="N73" s="12">
        <f t="shared" si="9"/>
        <v>2854113.9743207819</v>
      </c>
    </row>
    <row r="74" spans="1:14" x14ac:dyDescent="0.25">
      <c r="A74" s="41" t="s">
        <v>63</v>
      </c>
      <c r="B74" s="219">
        <v>10099.5</v>
      </c>
      <c r="C74" s="236">
        <v>6589.44</v>
      </c>
      <c r="D74" s="14">
        <f t="shared" si="4"/>
        <v>0.65245210158918754</v>
      </c>
      <c r="E74" s="13">
        <v>773.97</v>
      </c>
      <c r="F74" s="8">
        <f t="shared" si="10"/>
        <v>504.97835306698352</v>
      </c>
      <c r="G74" s="7">
        <f t="shared" si="5"/>
        <v>30.604748670726273</v>
      </c>
      <c r="H74" s="6">
        <f t="shared" si="6"/>
        <v>30.604748670726273</v>
      </c>
      <c r="I74" s="8">
        <f t="shared" si="11"/>
        <v>268.99164693301651</v>
      </c>
      <c r="J74" s="7">
        <f t="shared" si="7"/>
        <v>12.511239392233326</v>
      </c>
      <c r="K74" s="5">
        <f t="shared" si="8"/>
        <v>12.511239392233326</v>
      </c>
      <c r="L74" s="64">
        <f t="shared" si="12"/>
        <v>43.115988062959602</v>
      </c>
      <c r="M74" s="5">
        <f t="shared" si="13"/>
        <v>43.115988062959602</v>
      </c>
      <c r="N74" s="12">
        <f t="shared" si="9"/>
        <v>4284651.5465829456</v>
      </c>
    </row>
    <row r="75" spans="1:14" x14ac:dyDescent="0.25">
      <c r="A75" s="41" t="s">
        <v>64</v>
      </c>
      <c r="B75" s="219">
        <v>2483.25</v>
      </c>
      <c r="C75" s="236">
        <v>2250.21</v>
      </c>
      <c r="D75" s="14">
        <f t="shared" si="4"/>
        <v>0.9061552401087285</v>
      </c>
      <c r="E75" s="13">
        <v>202.93</v>
      </c>
      <c r="F75" s="8">
        <f t="shared" si="10"/>
        <v>183.88608287526429</v>
      </c>
      <c r="G75" s="7">
        <f t="shared" si="5"/>
        <v>11.144611083349352</v>
      </c>
      <c r="H75" s="6">
        <f t="shared" si="6"/>
        <v>11.144611083349352</v>
      </c>
      <c r="I75" s="8">
        <f t="shared" si="11"/>
        <v>19.043917124735714</v>
      </c>
      <c r="J75" s="7">
        <f t="shared" si="7"/>
        <v>0.88576358719700998</v>
      </c>
      <c r="K75" s="5">
        <f t="shared" si="8"/>
        <v>0.88576358719700998</v>
      </c>
      <c r="L75" s="64">
        <f t="shared" si="12"/>
        <v>12.030374670546362</v>
      </c>
      <c r="M75" s="5">
        <f t="shared" si="13"/>
        <v>12.030374670546362</v>
      </c>
      <c r="N75" s="12">
        <f t="shared" si="9"/>
        <v>1195518.5478495678</v>
      </c>
    </row>
    <row r="76" spans="1:14" x14ac:dyDescent="0.25">
      <c r="A76" s="41" t="s">
        <v>65</v>
      </c>
      <c r="B76" s="219">
        <v>3390.2</v>
      </c>
      <c r="C76" s="236">
        <v>2686.84</v>
      </c>
      <c r="D76" s="14">
        <f t="shared" si="4"/>
        <v>0.7925314140758658</v>
      </c>
      <c r="E76" s="13">
        <v>248.81</v>
      </c>
      <c r="F76" s="8">
        <f t="shared" si="10"/>
        <v>197.18974113621618</v>
      </c>
      <c r="G76" s="7">
        <f t="shared" si="5"/>
        <v>11.95089340219492</v>
      </c>
      <c r="H76" s="6">
        <f t="shared" si="6"/>
        <v>11.95089340219492</v>
      </c>
      <c r="I76" s="8">
        <f t="shared" si="11"/>
        <v>51.620258863783818</v>
      </c>
      <c r="J76" s="7">
        <f t="shared" si="7"/>
        <v>2.400942272734131</v>
      </c>
      <c r="K76" s="5">
        <f t="shared" si="8"/>
        <v>2.400942272734131</v>
      </c>
      <c r="L76" s="64">
        <f t="shared" si="12"/>
        <v>14.351835674929051</v>
      </c>
      <c r="M76" s="5">
        <f t="shared" si="13"/>
        <v>14.351835674929051</v>
      </c>
      <c r="N76" s="12">
        <f t="shared" si="9"/>
        <v>1426213.7476959869</v>
      </c>
    </row>
    <row r="77" spans="1:14" x14ac:dyDescent="0.25">
      <c r="A77" s="41" t="s">
        <v>66</v>
      </c>
      <c r="B77" s="219">
        <v>6118.74</v>
      </c>
      <c r="C77" s="236">
        <v>5379.45</v>
      </c>
      <c r="D77" s="14">
        <f t="shared" si="4"/>
        <v>0.87917610488433895</v>
      </c>
      <c r="E77" s="13">
        <v>412.83</v>
      </c>
      <c r="F77" s="8">
        <f t="shared" si="10"/>
        <v>362.95027137940161</v>
      </c>
      <c r="G77" s="7">
        <f t="shared" si="5"/>
        <v>21.996986144206158</v>
      </c>
      <c r="H77" s="6">
        <f t="shared" si="6"/>
        <v>21.996986144206158</v>
      </c>
      <c r="I77" s="8">
        <f t="shared" si="11"/>
        <v>49.879728620598371</v>
      </c>
      <c r="J77" s="7">
        <f t="shared" si="7"/>
        <v>2.3199873777022497</v>
      </c>
      <c r="K77" s="5">
        <f t="shared" si="8"/>
        <v>2.3199873777022497</v>
      </c>
      <c r="L77" s="64">
        <f t="shared" si="12"/>
        <v>24.316973521908409</v>
      </c>
      <c r="M77" s="5">
        <f t="shared" si="13"/>
        <v>24.316973521908409</v>
      </c>
      <c r="N77" s="12">
        <f t="shared" si="9"/>
        <v>2416499.3750513052</v>
      </c>
    </row>
    <row r="78" spans="1:14" x14ac:dyDescent="0.25">
      <c r="A78" s="41" t="s">
        <v>67</v>
      </c>
      <c r="B78" s="219">
        <v>15618.17</v>
      </c>
      <c r="C78" s="236">
        <v>9318.2800000000007</v>
      </c>
      <c r="D78" s="14">
        <f t="shared" si="4"/>
        <v>0.59663071921998545</v>
      </c>
      <c r="E78" s="13">
        <v>1153.08</v>
      </c>
      <c r="F78" s="8">
        <f t="shared" si="10"/>
        <v>687.96294971818077</v>
      </c>
      <c r="G78" s="7">
        <f t="shared" si="5"/>
        <v>41.694724225344288</v>
      </c>
      <c r="H78" s="6">
        <f t="shared" si="6"/>
        <v>41.694724225344288</v>
      </c>
      <c r="I78" s="8">
        <f t="shared" si="11"/>
        <v>465.11705028181916</v>
      </c>
      <c r="J78" s="7">
        <f t="shared" si="7"/>
        <v>21.633351175898564</v>
      </c>
      <c r="K78" s="5">
        <f t="shared" si="8"/>
        <v>21.633351175898564</v>
      </c>
      <c r="L78" s="64">
        <f t="shared" si="12"/>
        <v>63.328075401242856</v>
      </c>
      <c r="M78" s="5">
        <f t="shared" si="13"/>
        <v>63.328075401242856</v>
      </c>
      <c r="N78" s="12">
        <f t="shared" si="9"/>
        <v>6293227.8349701148</v>
      </c>
    </row>
    <row r="79" spans="1:14" x14ac:dyDescent="0.25">
      <c r="A79" s="41" t="s">
        <v>68</v>
      </c>
      <c r="B79" s="219">
        <v>22502.1</v>
      </c>
      <c r="C79" s="236">
        <v>17146.64</v>
      </c>
      <c r="D79" s="14">
        <f t="shared" si="4"/>
        <v>0.76200176872380798</v>
      </c>
      <c r="E79" s="13">
        <v>1801.41</v>
      </c>
      <c r="F79" s="8">
        <f t="shared" ref="F79:F95" si="14">E79*D79</f>
        <v>1372.6776061967551</v>
      </c>
      <c r="G79" s="7">
        <f t="shared" si="5"/>
        <v>83.192582193742737</v>
      </c>
      <c r="H79" s="6">
        <f t="shared" si="6"/>
        <v>83.192582193742737</v>
      </c>
      <c r="I79" s="8">
        <f t="shared" ref="I79:I95" si="15">E79-F79</f>
        <v>428.73239380324503</v>
      </c>
      <c r="J79" s="7">
        <f t="shared" si="7"/>
        <v>19.941041572243954</v>
      </c>
      <c r="K79" s="5">
        <f t="shared" si="8"/>
        <v>19.941041572243954</v>
      </c>
      <c r="L79" s="64">
        <f t="shared" ref="L79:L95" si="16">SUM(G79,J79)</f>
        <v>103.1336237659867</v>
      </c>
      <c r="M79" s="5">
        <f t="shared" ref="M79:M95" si="17">SUM(H79,K79)</f>
        <v>103.1336237659867</v>
      </c>
      <c r="N79" s="12">
        <f t="shared" si="9"/>
        <v>10248904.418666497</v>
      </c>
    </row>
    <row r="80" spans="1:14" x14ac:dyDescent="0.25">
      <c r="A80" s="41" t="s">
        <v>69</v>
      </c>
      <c r="B80" s="219">
        <v>27586.57</v>
      </c>
      <c r="C80" s="236">
        <v>15039.74</v>
      </c>
      <c r="D80" s="14">
        <f t="shared" ref="D80:D95" si="18">C80/B80</f>
        <v>0.54518339902351032</v>
      </c>
      <c r="E80" s="13">
        <v>1870.92</v>
      </c>
      <c r="F80" s="8">
        <f t="shared" si="14"/>
        <v>1019.9945249010659</v>
      </c>
      <c r="G80" s="7">
        <f t="shared" ref="G80:G95" si="19">(F80/$I$4)</f>
        <v>61.817849994003993</v>
      </c>
      <c r="H80" s="6">
        <f t="shared" ref="H80:H95" si="20">(G80*$I$7)</f>
        <v>61.817849994003993</v>
      </c>
      <c r="I80" s="8">
        <f t="shared" si="15"/>
        <v>850.92547509893416</v>
      </c>
      <c r="J80" s="7">
        <f t="shared" ref="J80:J95" si="21">(I80/$I$5)</f>
        <v>39.577929074369031</v>
      </c>
      <c r="K80" s="5">
        <f t="shared" ref="K80:K95" si="22">(J80*$I$7)</f>
        <v>39.577929074369031</v>
      </c>
      <c r="L80" s="64">
        <f t="shared" si="16"/>
        <v>101.39577906837303</v>
      </c>
      <c r="M80" s="5">
        <f t="shared" si="17"/>
        <v>101.39577906837303</v>
      </c>
      <c r="N80" s="12">
        <f t="shared" ref="N80:N95" si="23">($B$7*L80)+($E$7*M80)</f>
        <v>10076206.092456777</v>
      </c>
    </row>
    <row r="81" spans="1:14" x14ac:dyDescent="0.25">
      <c r="A81" s="41" t="s">
        <v>70</v>
      </c>
      <c r="B81" s="219">
        <v>2197.3200000000002</v>
      </c>
      <c r="C81" s="236">
        <v>1682.59</v>
      </c>
      <c r="D81" s="14">
        <f t="shared" si="18"/>
        <v>0.76574645477217695</v>
      </c>
      <c r="E81" s="13">
        <v>184.76</v>
      </c>
      <c r="F81" s="8">
        <f t="shared" si="14"/>
        <v>141.47931498370741</v>
      </c>
      <c r="G81" s="7">
        <f t="shared" si="19"/>
        <v>8.5745039384065098</v>
      </c>
      <c r="H81" s="6">
        <f t="shared" si="20"/>
        <v>8.5745039384065098</v>
      </c>
      <c r="I81" s="8">
        <f t="shared" si="15"/>
        <v>43.28068501629258</v>
      </c>
      <c r="J81" s="7">
        <f t="shared" si="21"/>
        <v>2.0130551170368642</v>
      </c>
      <c r="K81" s="5">
        <f t="shared" si="22"/>
        <v>2.0130551170368642</v>
      </c>
      <c r="L81" s="64">
        <f t="shared" si="16"/>
        <v>10.587559055443375</v>
      </c>
      <c r="M81" s="5">
        <f t="shared" si="17"/>
        <v>10.587559055443375</v>
      </c>
      <c r="N81" s="12">
        <f t="shared" si="23"/>
        <v>1052138.7383075042</v>
      </c>
    </row>
    <row r="82" spans="1:14" x14ac:dyDescent="0.25">
      <c r="A82" s="41" t="s">
        <v>71</v>
      </c>
      <c r="B82" s="219">
        <v>4904.8</v>
      </c>
      <c r="C82" s="236">
        <v>2789.85</v>
      </c>
      <c r="D82" s="14">
        <f t="shared" si="18"/>
        <v>0.56879995106834114</v>
      </c>
      <c r="E82" s="13">
        <v>363.01</v>
      </c>
      <c r="F82" s="8">
        <f t="shared" si="14"/>
        <v>206.4800702373185</v>
      </c>
      <c r="G82" s="7">
        <f t="shared" si="19"/>
        <v>12.513943650746576</v>
      </c>
      <c r="H82" s="6">
        <f t="shared" si="20"/>
        <v>12.513943650746576</v>
      </c>
      <c r="I82" s="8">
        <f t="shared" si="15"/>
        <v>156.52992976268149</v>
      </c>
      <c r="J82" s="7">
        <f t="shared" si="21"/>
        <v>7.2804618494270459</v>
      </c>
      <c r="K82" s="5">
        <f t="shared" si="22"/>
        <v>7.2804618494270459</v>
      </c>
      <c r="L82" s="64">
        <f t="shared" si="16"/>
        <v>19.794405500173621</v>
      </c>
      <c r="M82" s="5">
        <f t="shared" si="17"/>
        <v>19.794405500173621</v>
      </c>
      <c r="N82" s="12">
        <f t="shared" si="23"/>
        <v>1967069.153469543</v>
      </c>
    </row>
    <row r="83" spans="1:14" x14ac:dyDescent="0.25">
      <c r="A83" s="41" t="s">
        <v>72</v>
      </c>
      <c r="B83" s="219">
        <v>9921.15</v>
      </c>
      <c r="C83" s="236">
        <v>5800.34</v>
      </c>
      <c r="D83" s="14">
        <f t="shared" si="18"/>
        <v>0.58464391728781451</v>
      </c>
      <c r="E83" s="13">
        <v>765.19</v>
      </c>
      <c r="F83" s="8">
        <f t="shared" si="14"/>
        <v>447.36367906946282</v>
      </c>
      <c r="G83" s="7">
        <f t="shared" si="19"/>
        <v>27.11295024663411</v>
      </c>
      <c r="H83" s="6">
        <f t="shared" si="20"/>
        <v>27.11295024663411</v>
      </c>
      <c r="I83" s="8">
        <f t="shared" si="15"/>
        <v>317.82632093053724</v>
      </c>
      <c r="J83" s="7">
        <f t="shared" si="21"/>
        <v>14.782619578164523</v>
      </c>
      <c r="K83" s="5">
        <f t="shared" si="22"/>
        <v>14.782619578164523</v>
      </c>
      <c r="L83" s="64">
        <f t="shared" si="16"/>
        <v>41.895569824798635</v>
      </c>
      <c r="M83" s="5">
        <f t="shared" si="17"/>
        <v>41.895569824798635</v>
      </c>
      <c r="N83" s="12">
        <f t="shared" si="23"/>
        <v>4163372.4775754409</v>
      </c>
    </row>
    <row r="84" spans="1:14" x14ac:dyDescent="0.25">
      <c r="A84" s="41" t="s">
        <v>73</v>
      </c>
      <c r="B84" s="219">
        <v>2737.16</v>
      </c>
      <c r="C84" s="236">
        <v>1943.24</v>
      </c>
      <c r="D84" s="14">
        <f t="shared" si="18"/>
        <v>0.70994753686302592</v>
      </c>
      <c r="E84" s="13">
        <v>194.14</v>
      </c>
      <c r="F84" s="8">
        <f t="shared" si="14"/>
        <v>137.82921480658783</v>
      </c>
      <c r="G84" s="7">
        <f t="shared" si="19"/>
        <v>8.3532857458538086</v>
      </c>
      <c r="H84" s="6">
        <f t="shared" si="20"/>
        <v>8.3532857458538086</v>
      </c>
      <c r="I84" s="8">
        <f t="shared" si="15"/>
        <v>56.310785193412158</v>
      </c>
      <c r="J84" s="7">
        <f t="shared" si="21"/>
        <v>2.6191062880656819</v>
      </c>
      <c r="K84" s="5">
        <f t="shared" si="22"/>
        <v>2.6191062880656819</v>
      </c>
      <c r="L84" s="64">
        <f t="shared" si="16"/>
        <v>10.97239203391949</v>
      </c>
      <c r="M84" s="5">
        <f t="shared" si="17"/>
        <v>10.97239203391949</v>
      </c>
      <c r="N84" s="12">
        <f t="shared" si="23"/>
        <v>1090381.5176216662</v>
      </c>
    </row>
    <row r="85" spans="1:14" x14ac:dyDescent="0.25">
      <c r="A85" s="41" t="s">
        <v>74</v>
      </c>
      <c r="B85" s="219">
        <v>2669.43</v>
      </c>
      <c r="C85" s="236">
        <v>1792.49</v>
      </c>
      <c r="D85" s="14">
        <f t="shared" si="18"/>
        <v>0.6714879206422345</v>
      </c>
      <c r="E85" s="13">
        <v>207.64</v>
      </c>
      <c r="F85" s="8">
        <f t="shared" si="14"/>
        <v>139.42775184215355</v>
      </c>
      <c r="G85" s="7">
        <f t="shared" si="19"/>
        <v>8.4501667783123366</v>
      </c>
      <c r="H85" s="6">
        <f t="shared" si="20"/>
        <v>8.4501667783123366</v>
      </c>
      <c r="I85" s="8">
        <f t="shared" si="15"/>
        <v>68.212248157846432</v>
      </c>
      <c r="J85" s="7">
        <f t="shared" si="21"/>
        <v>3.1726627050161129</v>
      </c>
      <c r="K85" s="5">
        <f t="shared" si="22"/>
        <v>3.1726627050161129</v>
      </c>
      <c r="L85" s="64">
        <f t="shared" si="16"/>
        <v>11.622829483328449</v>
      </c>
      <c r="M85" s="5">
        <f t="shared" si="17"/>
        <v>11.622829483328449</v>
      </c>
      <c r="N85" s="12">
        <f t="shared" si="23"/>
        <v>1155018.7426690436</v>
      </c>
    </row>
    <row r="86" spans="1:14" x14ac:dyDescent="0.25">
      <c r="A86" s="41" t="s">
        <v>75</v>
      </c>
      <c r="B86" s="219">
        <v>8533.4500000000007</v>
      </c>
      <c r="C86" s="236">
        <v>4605.55</v>
      </c>
      <c r="D86" s="14">
        <f t="shared" si="18"/>
        <v>0.5397055118387053</v>
      </c>
      <c r="E86" s="13">
        <v>664.84</v>
      </c>
      <c r="F86" s="8">
        <f t="shared" si="14"/>
        <v>358.81781249084486</v>
      </c>
      <c r="G86" s="7">
        <f t="shared" si="19"/>
        <v>21.746534090354235</v>
      </c>
      <c r="H86" s="6">
        <f t="shared" si="20"/>
        <v>21.746534090354235</v>
      </c>
      <c r="I86" s="8">
        <f t="shared" si="15"/>
        <v>306.02218750915517</v>
      </c>
      <c r="J86" s="7">
        <f t="shared" si="21"/>
        <v>14.233590116704892</v>
      </c>
      <c r="K86" s="5">
        <f t="shared" si="22"/>
        <v>14.233590116704892</v>
      </c>
      <c r="L86" s="64">
        <f t="shared" si="16"/>
        <v>35.980124207059127</v>
      </c>
      <c r="M86" s="5">
        <f t="shared" si="17"/>
        <v>35.980124207059127</v>
      </c>
      <c r="N86" s="12">
        <f t="shared" si="23"/>
        <v>3575525.0373691712</v>
      </c>
    </row>
    <row r="87" spans="1:14" x14ac:dyDescent="0.25">
      <c r="A87" s="41" t="s">
        <v>76</v>
      </c>
      <c r="B87" s="219">
        <v>10966.62</v>
      </c>
      <c r="C87" s="236">
        <v>7289.33</v>
      </c>
      <c r="D87" s="14">
        <f t="shared" si="18"/>
        <v>0.6646833755523579</v>
      </c>
      <c r="E87" s="13">
        <v>752.33</v>
      </c>
      <c r="F87" s="8">
        <f t="shared" si="14"/>
        <v>500.06124392930548</v>
      </c>
      <c r="G87" s="7">
        <f t="shared" si="19"/>
        <v>30.306742056321543</v>
      </c>
      <c r="H87" s="6">
        <f t="shared" si="20"/>
        <v>30.306742056321543</v>
      </c>
      <c r="I87" s="8">
        <f t="shared" si="15"/>
        <v>252.26875607069456</v>
      </c>
      <c r="J87" s="7">
        <f t="shared" si="21"/>
        <v>11.733430514916027</v>
      </c>
      <c r="K87" s="5">
        <f t="shared" si="22"/>
        <v>11.733430514916027</v>
      </c>
      <c r="L87" s="64">
        <f t="shared" si="16"/>
        <v>42.040172571237569</v>
      </c>
      <c r="M87" s="5">
        <f t="shared" si="17"/>
        <v>42.040172571237569</v>
      </c>
      <c r="N87" s="12">
        <f t="shared" si="23"/>
        <v>4177742.3762836652</v>
      </c>
    </row>
    <row r="88" spans="1:14" x14ac:dyDescent="0.25">
      <c r="A88" s="41" t="s">
        <v>77</v>
      </c>
      <c r="B88" s="219">
        <v>7107.44</v>
      </c>
      <c r="C88" s="236">
        <v>5120.8100000000004</v>
      </c>
      <c r="D88" s="14">
        <f t="shared" si="18"/>
        <v>0.72048585707371438</v>
      </c>
      <c r="E88" s="13">
        <v>545.54999999999995</v>
      </c>
      <c r="F88" s="8">
        <f t="shared" si="14"/>
        <v>393.06105932656482</v>
      </c>
      <c r="G88" s="7">
        <f t="shared" si="19"/>
        <v>23.821882383428171</v>
      </c>
      <c r="H88" s="6">
        <f t="shared" si="20"/>
        <v>23.821882383428171</v>
      </c>
      <c r="I88" s="8">
        <f t="shared" si="15"/>
        <v>152.48894067343514</v>
      </c>
      <c r="J88" s="7">
        <f t="shared" si="21"/>
        <v>7.0925088685318665</v>
      </c>
      <c r="K88" s="5">
        <f t="shared" si="22"/>
        <v>7.0925088685318665</v>
      </c>
      <c r="L88" s="64">
        <f t="shared" si="16"/>
        <v>30.914391251960037</v>
      </c>
      <c r="M88" s="5">
        <f t="shared" si="17"/>
        <v>30.914391251960037</v>
      </c>
      <c r="N88" s="12">
        <f t="shared" si="23"/>
        <v>3072117.7976012412</v>
      </c>
    </row>
    <row r="89" spans="1:14" x14ac:dyDescent="0.25">
      <c r="A89" s="41" t="s">
        <v>78</v>
      </c>
      <c r="B89" s="219">
        <v>15888.61</v>
      </c>
      <c r="C89" s="236">
        <v>11802.21</v>
      </c>
      <c r="D89" s="14">
        <f t="shared" si="18"/>
        <v>0.74280947169072675</v>
      </c>
      <c r="E89" s="13">
        <v>1276.9000000000001</v>
      </c>
      <c r="F89" s="8">
        <f t="shared" si="14"/>
        <v>948.49341440188903</v>
      </c>
      <c r="G89" s="7">
        <f t="shared" si="19"/>
        <v>57.484449357690245</v>
      </c>
      <c r="H89" s="6">
        <f t="shared" si="20"/>
        <v>57.484449357690245</v>
      </c>
      <c r="I89" s="8">
        <f t="shared" si="15"/>
        <v>328.40658559811106</v>
      </c>
      <c r="J89" s="7">
        <f t="shared" si="21"/>
        <v>15.27472491154005</v>
      </c>
      <c r="K89" s="5">
        <f t="shared" si="22"/>
        <v>15.27472491154005</v>
      </c>
      <c r="L89" s="64">
        <f t="shared" si="16"/>
        <v>72.7591742692303</v>
      </c>
      <c r="M89" s="5">
        <f t="shared" si="17"/>
        <v>72.7591742692303</v>
      </c>
      <c r="N89" s="12">
        <f t="shared" si="23"/>
        <v>7230443.3359043011</v>
      </c>
    </row>
    <row r="90" spans="1:14" x14ac:dyDescent="0.25">
      <c r="A90" s="41" t="s">
        <v>79</v>
      </c>
      <c r="B90" s="219">
        <v>3787.02</v>
      </c>
      <c r="C90" s="236">
        <v>2926.7</v>
      </c>
      <c r="D90" s="14">
        <f t="shared" si="18"/>
        <v>0.7728240146606038</v>
      </c>
      <c r="E90" s="13">
        <v>280.32</v>
      </c>
      <c r="F90" s="8">
        <f t="shared" si="14"/>
        <v>216.63802778966044</v>
      </c>
      <c r="G90" s="7">
        <f t="shared" si="19"/>
        <v>13.129577441797602</v>
      </c>
      <c r="H90" s="6">
        <f t="shared" si="20"/>
        <v>13.129577441797602</v>
      </c>
      <c r="I90" s="8">
        <f t="shared" si="15"/>
        <v>63.681972210339552</v>
      </c>
      <c r="J90" s="7">
        <f t="shared" si="21"/>
        <v>2.9619521958297468</v>
      </c>
      <c r="K90" s="5">
        <f t="shared" si="22"/>
        <v>2.9619521958297468</v>
      </c>
      <c r="L90" s="64">
        <f t="shared" si="16"/>
        <v>16.09152963762735</v>
      </c>
      <c r="M90" s="5">
        <f t="shared" si="17"/>
        <v>16.09152963762735</v>
      </c>
      <c r="N90" s="12">
        <f t="shared" si="23"/>
        <v>1599095.8446334777</v>
      </c>
    </row>
    <row r="91" spans="1:14" x14ac:dyDescent="0.25">
      <c r="A91" s="41" t="s">
        <v>80</v>
      </c>
      <c r="B91" s="219">
        <v>3426.1</v>
      </c>
      <c r="C91" s="236">
        <v>3131.81</v>
      </c>
      <c r="D91" s="14">
        <f t="shared" si="18"/>
        <v>0.91410349960596593</v>
      </c>
      <c r="E91" s="13">
        <v>216.21</v>
      </c>
      <c r="F91" s="8">
        <f t="shared" si="14"/>
        <v>197.63831764980591</v>
      </c>
      <c r="G91" s="7">
        <f t="shared" si="19"/>
        <v>11.978079857563994</v>
      </c>
      <c r="H91" s="6">
        <f t="shared" si="20"/>
        <v>11.978079857563994</v>
      </c>
      <c r="I91" s="8">
        <f t="shared" si="15"/>
        <v>18.571682350194095</v>
      </c>
      <c r="J91" s="7">
        <f t="shared" si="21"/>
        <v>0.86379917907879511</v>
      </c>
      <c r="K91" s="5">
        <f t="shared" si="22"/>
        <v>0.86379917907879511</v>
      </c>
      <c r="L91" s="64">
        <f t="shared" si="16"/>
        <v>12.841879036642789</v>
      </c>
      <c r="M91" s="5">
        <f t="shared" si="17"/>
        <v>12.841879036642789</v>
      </c>
      <c r="N91" s="12">
        <f t="shared" si="23"/>
        <v>1276161.7986125238</v>
      </c>
    </row>
    <row r="92" spans="1:14" x14ac:dyDescent="0.25">
      <c r="A92" s="41" t="s">
        <v>81</v>
      </c>
      <c r="B92" s="219">
        <v>4956.4399999999996</v>
      </c>
      <c r="C92" s="236">
        <v>3366.99</v>
      </c>
      <c r="D92" s="14">
        <f t="shared" si="18"/>
        <v>0.67931620275843152</v>
      </c>
      <c r="E92" s="13">
        <v>376.26</v>
      </c>
      <c r="F92" s="8">
        <f t="shared" si="14"/>
        <v>255.59951444988744</v>
      </c>
      <c r="G92" s="7">
        <f t="shared" si="19"/>
        <v>15.490879663629542</v>
      </c>
      <c r="H92" s="6">
        <f t="shared" si="20"/>
        <v>15.490879663629542</v>
      </c>
      <c r="I92" s="8">
        <f t="shared" si="15"/>
        <v>120.66048555011255</v>
      </c>
      <c r="J92" s="7">
        <f t="shared" si="21"/>
        <v>5.6121156069819795</v>
      </c>
      <c r="K92" s="5">
        <f t="shared" si="22"/>
        <v>5.6121156069819795</v>
      </c>
      <c r="L92" s="64">
        <f t="shared" si="16"/>
        <v>21.102995270611522</v>
      </c>
      <c r="M92" s="5">
        <f t="shared" si="17"/>
        <v>21.102995270611522</v>
      </c>
      <c r="N92" s="12">
        <f t="shared" si="23"/>
        <v>2097110.2689731943</v>
      </c>
    </row>
    <row r="93" spans="1:14" x14ac:dyDescent="0.25">
      <c r="A93" s="41" t="s">
        <v>82</v>
      </c>
      <c r="B93" s="219">
        <v>7694.47</v>
      </c>
      <c r="C93" s="236">
        <v>2768.93</v>
      </c>
      <c r="D93" s="14">
        <f t="shared" si="18"/>
        <v>0.35985974342612287</v>
      </c>
      <c r="E93" s="13">
        <v>567.97</v>
      </c>
      <c r="F93" s="8">
        <f t="shared" si="14"/>
        <v>204.38953847373503</v>
      </c>
      <c r="G93" s="7">
        <f t="shared" si="19"/>
        <v>12.387244755983941</v>
      </c>
      <c r="H93" s="6">
        <f t="shared" si="20"/>
        <v>12.387244755983941</v>
      </c>
      <c r="I93" s="8">
        <f t="shared" si="15"/>
        <v>363.58046152626503</v>
      </c>
      <c r="J93" s="7">
        <f t="shared" si="21"/>
        <v>16.910719140756513</v>
      </c>
      <c r="K93" s="5">
        <f t="shared" si="22"/>
        <v>16.910719140756513</v>
      </c>
      <c r="L93" s="64">
        <f t="shared" si="16"/>
        <v>29.297963896740455</v>
      </c>
      <c r="M93" s="5">
        <f t="shared" si="17"/>
        <v>29.297963896740455</v>
      </c>
      <c r="N93" s="12">
        <f t="shared" si="23"/>
        <v>2911485.3204475874</v>
      </c>
    </row>
    <row r="94" spans="1:14" x14ac:dyDescent="0.25">
      <c r="A94" s="41" t="s">
        <v>83</v>
      </c>
      <c r="B94" s="219">
        <v>17132.009999999998</v>
      </c>
      <c r="C94" s="236">
        <v>10493.05</v>
      </c>
      <c r="D94" s="14">
        <f t="shared" si="18"/>
        <v>0.61248213140197794</v>
      </c>
      <c r="E94" s="13">
        <v>1271.46</v>
      </c>
      <c r="F94" s="8">
        <f t="shared" si="14"/>
        <v>778.74653079235884</v>
      </c>
      <c r="G94" s="7">
        <f t="shared" si="19"/>
        <v>47.196759441961142</v>
      </c>
      <c r="H94" s="6">
        <f t="shared" si="20"/>
        <v>47.196759441961142</v>
      </c>
      <c r="I94" s="8">
        <f t="shared" si="15"/>
        <v>492.7134692076412</v>
      </c>
      <c r="J94" s="7">
        <f t="shared" si="21"/>
        <v>22.91690554454145</v>
      </c>
      <c r="K94" s="5">
        <f t="shared" si="22"/>
        <v>22.91690554454145</v>
      </c>
      <c r="L94" s="64">
        <f t="shared" si="16"/>
        <v>70.113664986502584</v>
      </c>
      <c r="M94" s="5">
        <f t="shared" si="17"/>
        <v>70.113664986502584</v>
      </c>
      <c r="N94" s="12">
        <f t="shared" si="23"/>
        <v>6967545.8366474845</v>
      </c>
    </row>
    <row r="95" spans="1:14" x14ac:dyDescent="0.25">
      <c r="A95" s="41" t="s">
        <v>84</v>
      </c>
      <c r="B95" s="219">
        <v>15937.31</v>
      </c>
      <c r="C95" s="236">
        <v>3335.44</v>
      </c>
      <c r="D95" s="14">
        <f t="shared" si="18"/>
        <v>0.2092850048094691</v>
      </c>
      <c r="E95" s="13">
        <v>1255.54</v>
      </c>
      <c r="F95" s="8">
        <f t="shared" si="14"/>
        <v>262.76569493848081</v>
      </c>
      <c r="G95" s="7">
        <f t="shared" si="19"/>
        <v>15.925193632635199</v>
      </c>
      <c r="H95" s="6">
        <f t="shared" si="20"/>
        <v>15.925193632635199</v>
      </c>
      <c r="I95" s="8">
        <f t="shared" si="15"/>
        <v>992.77430506151916</v>
      </c>
      <c r="J95" s="7">
        <f t="shared" si="21"/>
        <v>46.175549072628797</v>
      </c>
      <c r="K95" s="5">
        <f t="shared" si="22"/>
        <v>46.175549072628797</v>
      </c>
      <c r="L95" s="64">
        <f t="shared" si="16"/>
        <v>62.100742705263997</v>
      </c>
      <c r="M95" s="5">
        <f t="shared" si="17"/>
        <v>62.100742705263997</v>
      </c>
      <c r="N95" s="12">
        <f t="shared" si="23"/>
        <v>6171261.6416796204</v>
      </c>
    </row>
    <row r="96" spans="1:14" s="241" customFormat="1" ht="15.75" thickBot="1" x14ac:dyDescent="0.3">
      <c r="A96" s="687" t="s">
        <v>312</v>
      </c>
      <c r="B96" s="223">
        <v>721122.25</v>
      </c>
      <c r="C96" s="238">
        <v>446194.4</v>
      </c>
      <c r="D96" s="359">
        <f>C96/B96</f>
        <v>0.61875001083380798</v>
      </c>
      <c r="E96" s="16">
        <f>SUM(E15:E95)</f>
        <v>53751.140000000021</v>
      </c>
      <c r="F96" s="18">
        <f t="shared" ref="F96:K96" si="24">SUM(F15:F95)</f>
        <v>33287.799947135471</v>
      </c>
      <c r="G96" s="19">
        <f t="shared" si="24"/>
        <v>2017.4424210385127</v>
      </c>
      <c r="H96" s="360">
        <f t="shared" si="24"/>
        <v>2017.4424210385127</v>
      </c>
      <c r="I96" s="18">
        <f t="shared" si="24"/>
        <v>20463.340052864536</v>
      </c>
      <c r="J96" s="20">
        <f t="shared" si="24"/>
        <v>951.7832582727691</v>
      </c>
      <c r="K96" s="335">
        <f t="shared" si="24"/>
        <v>951.7832582727691</v>
      </c>
      <c r="L96" s="18">
        <f>SUM(L15:L95)</f>
        <v>2969.2256793112824</v>
      </c>
      <c r="M96" s="360">
        <f>SUM(M15:M95)</f>
        <v>2969.2256793112824</v>
      </c>
      <c r="N96" s="21">
        <f>SUM(N15:N95)</f>
        <v>295066817.91537732</v>
      </c>
    </row>
  </sheetData>
  <sortState ref="A15:U94">
    <sortCondition ref="A13"/>
  </sortState>
  <mergeCells count="20">
    <mergeCell ref="A12:A13"/>
    <mergeCell ref="B12:B13"/>
    <mergeCell ref="C12:C13"/>
    <mergeCell ref="D12:D13"/>
    <mergeCell ref="E12:E13"/>
    <mergeCell ref="K12:K13"/>
    <mergeCell ref="M12:M13"/>
    <mergeCell ref="L12:L13"/>
    <mergeCell ref="I11:K11"/>
    <mergeCell ref="G3:I3"/>
    <mergeCell ref="B10:N10"/>
    <mergeCell ref="N12:N13"/>
    <mergeCell ref="L11:N11"/>
    <mergeCell ref="I12:I13"/>
    <mergeCell ref="J12:J13"/>
    <mergeCell ref="B11:E11"/>
    <mergeCell ref="F11:H11"/>
    <mergeCell ref="F12:F13"/>
    <mergeCell ref="G12:G13"/>
    <mergeCell ref="H12:H13"/>
  </mergeCells>
  <conditionalFormatting sqref="N15:N96">
    <cfRule type="cellIs" dxfId="16" priority="2" operator="lessThan">
      <formula>0</formula>
    </cfRule>
  </conditionalFormatting>
  <conditionalFormatting sqref="N12">
    <cfRule type="cellIs" dxfId="15" priority="1" operator="lessThan">
      <formula>0</formula>
    </cfRule>
  </conditionalFormatting>
  <printOptions horizontalCentered="1"/>
  <pageMargins left="0.5" right="0.5" top="0.5" bottom="0.5" header="0.3" footer="0.3"/>
  <pageSetup scale="68" fitToHeight="2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AC91"/>
  <sheetViews>
    <sheetView zoomScaleNormal="100" zoomScaleSheetLayoutView="85" zoomScalePageLayoutView="70" workbookViewId="0">
      <selection activeCell="A17" sqref="A17"/>
    </sheetView>
  </sheetViews>
  <sheetFormatPr defaultRowHeight="15" x14ac:dyDescent="0.25"/>
  <cols>
    <col min="1" max="1" width="17.28515625" bestFit="1" customWidth="1"/>
    <col min="2" max="2" width="10.85546875" hidden="1" customWidth="1"/>
    <col min="3" max="3" width="10.85546875" style="72" hidden="1" customWidth="1"/>
    <col min="4" max="4" width="15.85546875" hidden="1" customWidth="1"/>
    <col min="5" max="5" width="15.28515625" hidden="1" customWidth="1"/>
    <col min="6" max="6" width="15.140625" hidden="1" customWidth="1"/>
    <col min="7" max="7" width="15.85546875" style="38" bestFit="1" customWidth="1"/>
    <col min="8" max="8" width="3.7109375" customWidth="1"/>
    <col min="9" max="9" width="17.28515625" hidden="1" customWidth="1"/>
    <col min="10" max="10" width="18.140625" hidden="1" customWidth="1"/>
    <col min="11" max="11" width="20.42578125" customWidth="1"/>
    <col min="12" max="12" width="3.7109375" customWidth="1"/>
    <col min="13" max="13" width="19.28515625" bestFit="1" customWidth="1"/>
    <col min="14" max="14" width="14.5703125" hidden="1" customWidth="1"/>
    <col min="15" max="15" width="14.5703125" bestFit="1" customWidth="1"/>
    <col min="16" max="16" width="15.5703125" customWidth="1"/>
    <col min="17" max="17" width="3.7109375" customWidth="1"/>
    <col min="18" max="18" width="14.5703125" bestFit="1" customWidth="1"/>
    <col min="19" max="19" width="13.7109375" bestFit="1" customWidth="1"/>
    <col min="20" max="20" width="11.42578125" bestFit="1" customWidth="1"/>
    <col min="21" max="21" width="15.140625" bestFit="1" customWidth="1"/>
    <col min="22" max="22" width="8.42578125" bestFit="1" customWidth="1"/>
    <col min="23" max="23" width="3.7109375" customWidth="1"/>
    <col min="24" max="25" width="14.5703125" style="105" bestFit="1" customWidth="1"/>
    <col min="26" max="26" width="11.85546875" style="105" bestFit="1" customWidth="1"/>
    <col min="27" max="27" width="11.42578125" bestFit="1" customWidth="1"/>
    <col min="28" max="28" width="15.140625" bestFit="1" customWidth="1"/>
    <col min="29" max="29" width="10.28515625" customWidth="1"/>
  </cols>
  <sheetData>
    <row r="1" spans="1:29" ht="24" thickBot="1" x14ac:dyDescent="0.4">
      <c r="A1" s="4" t="s">
        <v>701</v>
      </c>
      <c r="B1" s="4"/>
      <c r="C1" s="71"/>
      <c r="O1" s="105"/>
      <c r="R1" s="105"/>
      <c r="AA1" s="105"/>
      <c r="AB1" s="105"/>
    </row>
    <row r="2" spans="1:29" ht="15.75" thickBot="1" x14ac:dyDescent="0.3">
      <c r="A2" s="543"/>
      <c r="C2" s="475"/>
      <c r="D2" s="922" t="s">
        <v>214</v>
      </c>
      <c r="E2" s="923"/>
      <c r="F2" s="923"/>
      <c r="G2" s="924"/>
    </row>
    <row r="3" spans="1:29" ht="15.75" customHeight="1" thickBot="1" x14ac:dyDescent="0.3">
      <c r="A3" s="544"/>
      <c r="C3" s="476"/>
      <c r="D3" s="919" t="s">
        <v>601</v>
      </c>
      <c r="E3" s="920"/>
      <c r="F3" s="920"/>
      <c r="G3" s="921"/>
      <c r="H3" s="477"/>
      <c r="I3" s="919" t="s">
        <v>584</v>
      </c>
      <c r="J3" s="920"/>
      <c r="K3" s="921"/>
      <c r="M3" s="528" t="s">
        <v>665</v>
      </c>
      <c r="O3" s="922" t="s">
        <v>664</v>
      </c>
      <c r="P3" s="924"/>
      <c r="R3" s="922" t="s">
        <v>605</v>
      </c>
      <c r="S3" s="923"/>
      <c r="T3" s="924"/>
      <c r="U3" s="919" t="s">
        <v>207</v>
      </c>
      <c r="V3" s="921"/>
      <c r="X3" s="925" t="s">
        <v>576</v>
      </c>
      <c r="Y3" s="926"/>
      <c r="Z3" s="926"/>
      <c r="AA3" s="927"/>
      <c r="AB3" s="919" t="s">
        <v>207</v>
      </c>
      <c r="AC3" s="921"/>
    </row>
    <row r="4" spans="1:29" s="3" customFormat="1" ht="45.75" thickBot="1" x14ac:dyDescent="0.3">
      <c r="A4" s="744" t="s">
        <v>0</v>
      </c>
      <c r="B4" s="164" t="s">
        <v>86</v>
      </c>
      <c r="C4" s="165" t="s">
        <v>200</v>
      </c>
      <c r="D4" s="164" t="s">
        <v>166</v>
      </c>
      <c r="E4" s="164" t="s">
        <v>167</v>
      </c>
      <c r="F4" s="164" t="s">
        <v>168</v>
      </c>
      <c r="G4" s="199" t="s">
        <v>99</v>
      </c>
      <c r="H4" s="199"/>
      <c r="I4" s="103" t="s">
        <v>559</v>
      </c>
      <c r="J4" s="199" t="s">
        <v>560</v>
      </c>
      <c r="K4" s="199" t="s">
        <v>91</v>
      </c>
      <c r="L4" s="529"/>
      <c r="M4" s="199" t="s">
        <v>647</v>
      </c>
      <c r="N4" s="199" t="s">
        <v>663</v>
      </c>
      <c r="O4" s="199" t="s">
        <v>207</v>
      </c>
      <c r="P4" s="199" t="s">
        <v>648</v>
      </c>
      <c r="Q4" s="529"/>
      <c r="R4" s="199" t="s">
        <v>666</v>
      </c>
      <c r="S4" s="199" t="s">
        <v>603</v>
      </c>
      <c r="T4" s="199" t="s">
        <v>589</v>
      </c>
      <c r="U4" s="199" t="s">
        <v>587</v>
      </c>
      <c r="V4" s="198" t="s">
        <v>698</v>
      </c>
      <c r="W4" s="199"/>
      <c r="X4" s="519" t="s">
        <v>588</v>
      </c>
      <c r="Y4" s="519" t="s">
        <v>700</v>
      </c>
      <c r="Z4" s="519" t="s">
        <v>603</v>
      </c>
      <c r="AA4" s="199" t="s">
        <v>589</v>
      </c>
      <c r="AB4" s="199" t="s">
        <v>587</v>
      </c>
      <c r="AC4" s="198" t="s">
        <v>698</v>
      </c>
    </row>
    <row r="5" spans="1:29" s="3" customFormat="1" ht="15.75" thickBot="1" x14ac:dyDescent="0.3">
      <c r="A5" s="746" t="s">
        <v>715</v>
      </c>
      <c r="B5" s="741"/>
      <c r="C5" s="165"/>
      <c r="D5" s="741"/>
      <c r="E5" s="742"/>
      <c r="F5" s="742"/>
      <c r="G5" s="752" t="s">
        <v>716</v>
      </c>
      <c r="H5" s="754"/>
      <c r="I5" s="765"/>
      <c r="J5" s="742"/>
      <c r="K5" s="752" t="s">
        <v>717</v>
      </c>
      <c r="L5" s="754"/>
      <c r="M5" s="747" t="s">
        <v>718</v>
      </c>
      <c r="N5" s="741"/>
      <c r="O5" s="755" t="s">
        <v>719</v>
      </c>
      <c r="P5" s="752" t="s">
        <v>720</v>
      </c>
      <c r="Q5" s="754"/>
      <c r="R5" s="757" t="s">
        <v>721</v>
      </c>
      <c r="S5" s="768" t="s">
        <v>722</v>
      </c>
      <c r="T5" s="752" t="s">
        <v>723</v>
      </c>
      <c r="U5" s="769" t="s">
        <v>724</v>
      </c>
      <c r="V5" s="766" t="s">
        <v>725</v>
      </c>
      <c r="W5" s="754"/>
      <c r="X5" s="770" t="s">
        <v>726</v>
      </c>
      <c r="Y5" s="771" t="s">
        <v>727</v>
      </c>
      <c r="Z5" s="771" t="s">
        <v>728</v>
      </c>
      <c r="AA5" s="752" t="s">
        <v>729</v>
      </c>
      <c r="AB5" s="769" t="s">
        <v>730</v>
      </c>
      <c r="AC5" s="766" t="s">
        <v>731</v>
      </c>
    </row>
    <row r="6" spans="1:29" s="3" customFormat="1" ht="15.75" thickBot="1" x14ac:dyDescent="0.3">
      <c r="A6" s="135"/>
      <c r="B6" s="171"/>
      <c r="C6" s="437"/>
      <c r="D6" s="376"/>
      <c r="E6" s="377"/>
      <c r="F6" s="377"/>
      <c r="G6" s="378"/>
      <c r="H6" s="179"/>
      <c r="I6" s="177"/>
      <c r="J6" s="178"/>
      <c r="K6" s="179"/>
      <c r="L6" s="425"/>
      <c r="M6" s="523">
        <v>3000</v>
      </c>
      <c r="N6" s="524"/>
      <c r="O6" s="525">
        <f>1-P6</f>
        <v>0.5</v>
      </c>
      <c r="P6" s="531">
        <v>0.5</v>
      </c>
      <c r="Q6" s="425"/>
      <c r="R6" s="177"/>
      <c r="S6" s="526"/>
      <c r="T6" s="179"/>
      <c r="U6" s="149"/>
      <c r="V6" s="425"/>
      <c r="W6" s="179"/>
      <c r="X6" s="513"/>
      <c r="Y6" s="389"/>
      <c r="Z6" s="527"/>
      <c r="AA6" s="179"/>
      <c r="AB6" s="149"/>
      <c r="AC6" s="425"/>
    </row>
    <row r="7" spans="1:29" x14ac:dyDescent="0.25">
      <c r="A7" s="167" t="s">
        <v>4</v>
      </c>
      <c r="B7" s="93">
        <v>2915.96</v>
      </c>
      <c r="C7" s="514">
        <v>2.4085764206051687E-3</v>
      </c>
      <c r="D7" s="520">
        <f>'Total Inst. Cost'!G5</f>
        <v>17451819.025048982</v>
      </c>
      <c r="E7" s="521">
        <f>Facilities!J15</f>
        <v>4116542.972948039</v>
      </c>
      <c r="F7" s="522">
        <f>'District Services'!K14</f>
        <v>1236460.9204746105</v>
      </c>
      <c r="G7" s="404">
        <f>SUM(D7:F7)</f>
        <v>22804822.918471634</v>
      </c>
      <c r="H7" s="169"/>
      <c r="I7" s="520">
        <f>'FY 19 State Pmt'!BL6</f>
        <v>13843357.630000006</v>
      </c>
      <c r="J7" s="521">
        <f>'Prop Tax'!K5</f>
        <v>4688008.4115861459</v>
      </c>
      <c r="K7" s="538">
        <f>I7+J7</f>
        <v>18531366.041586153</v>
      </c>
      <c r="L7" s="420"/>
      <c r="M7" s="520">
        <f>$M$6*B7</f>
        <v>8747880</v>
      </c>
      <c r="N7" s="391">
        <f>G7-M7</f>
        <v>14056942.918471634</v>
      </c>
      <c r="O7" s="391">
        <f>MIN(($N$88)*$O$6*C7,N7)</f>
        <v>3972172.7474093055</v>
      </c>
      <c r="P7" s="461">
        <f>N7-O7</f>
        <v>10084770.171062328</v>
      </c>
      <c r="Q7" s="420"/>
      <c r="R7" s="391">
        <f>P7+M7</f>
        <v>18832650.171062328</v>
      </c>
      <c r="S7" s="372">
        <f>R7-K7</f>
        <v>301284.12947617471</v>
      </c>
      <c r="T7" s="169">
        <f t="shared" ref="T7:T38" si="0">R7/G7</f>
        <v>0.82581874186833115</v>
      </c>
      <c r="U7" s="461">
        <f>G7-R7</f>
        <v>3972172.7474093065</v>
      </c>
      <c r="V7" s="170">
        <f>U7/ITA!B5*1000</f>
        <v>100.72730337270926</v>
      </c>
      <c r="W7" s="169"/>
      <c r="X7" s="391">
        <f>IF(S7&lt;0,K7-R7,0)</f>
        <v>0</v>
      </c>
      <c r="Y7" s="372">
        <f>X7+R7</f>
        <v>18832650.171062328</v>
      </c>
      <c r="Z7" s="372">
        <f>Y7-K7</f>
        <v>301284.12947617471</v>
      </c>
      <c r="AA7" s="169">
        <f>Y7/G7</f>
        <v>0.82581874186833115</v>
      </c>
      <c r="AB7" s="461">
        <f>G7-Y7</f>
        <v>3972172.7474093065</v>
      </c>
      <c r="AC7" s="170">
        <f>AB7/ITA!B5*1000</f>
        <v>100.72730337270926</v>
      </c>
    </row>
    <row r="8" spans="1:29" x14ac:dyDescent="0.25">
      <c r="A8" s="125" t="s">
        <v>5</v>
      </c>
      <c r="B8" s="126">
        <v>23246.81</v>
      </c>
      <c r="C8" s="515">
        <v>2.8012888782051496E-2</v>
      </c>
      <c r="D8" s="382">
        <f>'Total Inst. Cost'!G6</f>
        <v>138895821.26898709</v>
      </c>
      <c r="E8" s="383">
        <f>Facilities!J16</f>
        <v>32549340.349257912</v>
      </c>
      <c r="F8" s="384">
        <f>'District Services'!K15</f>
        <v>4204534.977216037</v>
      </c>
      <c r="G8" s="405">
        <f t="shared" ref="G8:G71" si="1">SUM(D8:F8)</f>
        <v>175649696.59546104</v>
      </c>
      <c r="H8" s="132"/>
      <c r="I8" s="382">
        <f>'FY 19 State Pmt'!BL7</f>
        <v>100301597.23999999</v>
      </c>
      <c r="J8" s="383">
        <f>'Prop Tax'!K6</f>
        <v>34301239.855596095</v>
      </c>
      <c r="K8" s="539">
        <f t="shared" ref="K8:K71" si="2">I8+J8</f>
        <v>134602837.09559608</v>
      </c>
      <c r="L8" s="421"/>
      <c r="M8" s="382">
        <f>$M$6*B8</f>
        <v>69740430</v>
      </c>
      <c r="N8" s="392">
        <f t="shared" ref="N8:N38" si="3">G8-M8</f>
        <v>105909266.59546104</v>
      </c>
      <c r="O8" s="392">
        <f t="shared" ref="O8:O71" si="4">MIN(($N$88)*$O$6*C8,N8)</f>
        <v>46198257.379068367</v>
      </c>
      <c r="P8" s="181">
        <f t="shared" ref="P8:P71" si="5">N8-O8</f>
        <v>59711009.216392674</v>
      </c>
      <c r="Q8" s="421"/>
      <c r="R8" s="392">
        <f t="shared" ref="R8:R38" si="6">P8+M8</f>
        <v>129451439.21639267</v>
      </c>
      <c r="S8" s="373">
        <f t="shared" ref="S8:S38" si="7">R8-K8</f>
        <v>-5151397.879203409</v>
      </c>
      <c r="T8" s="132">
        <f t="shared" si="0"/>
        <v>0.73698640945866467</v>
      </c>
      <c r="U8" s="181">
        <f>G8-R8</f>
        <v>46198257.379068375</v>
      </c>
      <c r="V8" s="134">
        <f>U8/ITA!B6*1000</f>
        <v>100.72730337270926</v>
      </c>
      <c r="W8" s="132"/>
      <c r="X8" s="392">
        <f t="shared" ref="X8:X71" si="8">IF(S8&lt;0,K8-R8,0)</f>
        <v>5151397.879203409</v>
      </c>
      <c r="Y8" s="373">
        <f>X8+R8</f>
        <v>134602837.09559608</v>
      </c>
      <c r="Z8" s="373">
        <f t="shared" ref="Z8:Z71" si="9">Y8-K8</f>
        <v>0</v>
      </c>
      <c r="AA8" s="132">
        <f t="shared" ref="AA8:AA71" si="10">Y8/G8</f>
        <v>0.76631408823665648</v>
      </c>
      <c r="AB8" s="181">
        <f t="shared" ref="AB8:AB71" si="11">G8-Y8</f>
        <v>41046859.499864966</v>
      </c>
      <c r="AC8" s="134">
        <f>AB8/ITA!B6*1000</f>
        <v>89.495571995604308</v>
      </c>
    </row>
    <row r="9" spans="1:29" x14ac:dyDescent="0.25">
      <c r="A9" s="123" t="s">
        <v>6</v>
      </c>
      <c r="B9" s="47">
        <v>1028.55</v>
      </c>
      <c r="C9" s="516">
        <v>1.2550056023903104E-3</v>
      </c>
      <c r="D9" s="379">
        <f>'Total Inst. Cost'!G7</f>
        <v>6507619.5006696107</v>
      </c>
      <c r="E9" s="380">
        <f>Facilities!J17</f>
        <v>1509651.1383668971</v>
      </c>
      <c r="F9" s="380">
        <f>'District Services'!K16</f>
        <v>1158361.8245410377</v>
      </c>
      <c r="G9" s="404">
        <f t="shared" si="1"/>
        <v>9175632.4635775462</v>
      </c>
      <c r="H9" s="79"/>
      <c r="I9" s="379">
        <f>'FY 19 State Pmt'!BL8</f>
        <v>5482811.0600000015</v>
      </c>
      <c r="J9" s="380">
        <f>'Prop Tax'!K7</f>
        <v>3689322.6096002236</v>
      </c>
      <c r="K9" s="540">
        <f>I9+J9</f>
        <v>9172133.669600226</v>
      </c>
      <c r="L9" s="422"/>
      <c r="M9" s="379">
        <f t="shared" ref="M9:M38" si="12">$M$6*B9</f>
        <v>3085650</v>
      </c>
      <c r="N9" s="393">
        <f t="shared" si="3"/>
        <v>6089982.4635775462</v>
      </c>
      <c r="O9" s="393">
        <f t="shared" si="4"/>
        <v>2069728.4126065865</v>
      </c>
      <c r="P9" s="180">
        <f>N9-O9</f>
        <v>4020254.0509709595</v>
      </c>
      <c r="Q9" s="422"/>
      <c r="R9" s="393">
        <f t="shared" si="6"/>
        <v>7105904.0509709595</v>
      </c>
      <c r="S9" s="374">
        <f t="shared" si="7"/>
        <v>-2066229.6186292665</v>
      </c>
      <c r="T9" s="79">
        <f t="shared" si="0"/>
        <v>0.77443207094199507</v>
      </c>
      <c r="U9" s="180">
        <f>G9-R9</f>
        <v>2069728.4126065867</v>
      </c>
      <c r="V9" s="124">
        <f>U9/ITA!B7*1000</f>
        <v>100.72730337270926</v>
      </c>
      <c r="W9" s="79"/>
      <c r="X9" s="393">
        <f t="shared" si="8"/>
        <v>2066229.6186292665</v>
      </c>
      <c r="Y9" s="374">
        <f>X9+R9</f>
        <v>9172133.669600226</v>
      </c>
      <c r="Z9" s="374">
        <f t="shared" si="9"/>
        <v>0</v>
      </c>
      <c r="AA9" s="79">
        <f t="shared" si="10"/>
        <v>0.99961868634219941</v>
      </c>
      <c r="AB9" s="180">
        <f t="shared" si="11"/>
        <v>3498.7939773201942</v>
      </c>
      <c r="AC9" s="124">
        <f>AB9/ITA!B7*1000</f>
        <v>0.17027552032698887</v>
      </c>
    </row>
    <row r="10" spans="1:29" x14ac:dyDescent="0.25">
      <c r="A10" s="125" t="s">
        <v>7</v>
      </c>
      <c r="B10" s="126">
        <v>9875.19</v>
      </c>
      <c r="C10" s="515">
        <v>7.5280630788636584E-3</v>
      </c>
      <c r="D10" s="382">
        <f>'Total Inst. Cost'!G8</f>
        <v>57334020.757144377</v>
      </c>
      <c r="E10" s="383">
        <f>Facilities!J18</f>
        <v>13489489.024875108</v>
      </c>
      <c r="F10" s="384">
        <f>'District Services'!K17</f>
        <v>2570120.165301017</v>
      </c>
      <c r="G10" s="405">
        <f t="shared" si="1"/>
        <v>73393629.947320491</v>
      </c>
      <c r="H10" s="132"/>
      <c r="I10" s="382">
        <f>'FY 19 State Pmt'!BL9</f>
        <v>45349949.480000004</v>
      </c>
      <c r="J10" s="383">
        <f>'Prop Tax'!K8</f>
        <v>12492899.559404787</v>
      </c>
      <c r="K10" s="539">
        <f t="shared" si="2"/>
        <v>57842849.039404795</v>
      </c>
      <c r="L10" s="421"/>
      <c r="M10" s="382">
        <f t="shared" si="12"/>
        <v>29625570</v>
      </c>
      <c r="N10" s="392">
        <f t="shared" si="3"/>
        <v>43768059.947320491</v>
      </c>
      <c r="O10" s="392">
        <f t="shared" si="4"/>
        <v>12415120.710650805</v>
      </c>
      <c r="P10" s="181">
        <f t="shared" si="5"/>
        <v>31352939.236669686</v>
      </c>
      <c r="Q10" s="421"/>
      <c r="R10" s="392">
        <f t="shared" si="6"/>
        <v>60978509.236669689</v>
      </c>
      <c r="S10" s="373">
        <f t="shared" si="7"/>
        <v>3135660.1972648948</v>
      </c>
      <c r="T10" s="132">
        <f t="shared" si="0"/>
        <v>0.83084198561153111</v>
      </c>
      <c r="U10" s="181">
        <f t="shared" ref="U10:U38" si="13">G10-R10</f>
        <v>12415120.710650802</v>
      </c>
      <c r="V10" s="134">
        <f>U10/ITA!B8*1000</f>
        <v>100.72730337270922</v>
      </c>
      <c r="W10" s="132"/>
      <c r="X10" s="392">
        <f t="shared" si="8"/>
        <v>0</v>
      </c>
      <c r="Y10" s="373">
        <f t="shared" ref="Y10:Y71" si="14">X10+R10</f>
        <v>60978509.236669689</v>
      </c>
      <c r="Z10" s="373">
        <f t="shared" si="9"/>
        <v>3135660.1972648948</v>
      </c>
      <c r="AA10" s="132">
        <f t="shared" si="10"/>
        <v>0.83084198561153111</v>
      </c>
      <c r="AB10" s="181">
        <f t="shared" si="11"/>
        <v>12415120.710650802</v>
      </c>
      <c r="AC10" s="134">
        <f>AB10/ITA!B8*1000</f>
        <v>100.72730337270922</v>
      </c>
    </row>
    <row r="11" spans="1:29" x14ac:dyDescent="0.25">
      <c r="A11" s="123" t="s">
        <v>8</v>
      </c>
      <c r="B11" s="47">
        <v>3618.89</v>
      </c>
      <c r="C11" s="516">
        <v>2.403114403844644E-3</v>
      </c>
      <c r="D11" s="379">
        <f>'Total Inst. Cost'!G9</f>
        <v>22183673.082758758</v>
      </c>
      <c r="E11" s="380">
        <f>Facilities!J19</f>
        <v>5126137.8278631568</v>
      </c>
      <c r="F11" s="381">
        <f>'District Services'!K18</f>
        <v>1267198.941009718</v>
      </c>
      <c r="G11" s="404">
        <f t="shared" si="1"/>
        <v>28577009.851631634</v>
      </c>
      <c r="H11" s="79"/>
      <c r="I11" s="379">
        <f>'FY 19 State Pmt'!BL10</f>
        <v>18404965.759999994</v>
      </c>
      <c r="J11" s="380">
        <f>'Prop Tax'!K9</f>
        <v>5232157.2744191503</v>
      </c>
      <c r="K11" s="540">
        <f t="shared" si="2"/>
        <v>23637123.034419145</v>
      </c>
      <c r="L11" s="422"/>
      <c r="M11" s="379">
        <f t="shared" si="12"/>
        <v>10856670</v>
      </c>
      <c r="N11" s="393">
        <f t="shared" si="3"/>
        <v>17720339.851631634</v>
      </c>
      <c r="O11" s="393">
        <f t="shared" si="4"/>
        <v>3963164.9061232908</v>
      </c>
      <c r="P11" s="180">
        <f t="shared" si="5"/>
        <v>13757174.945508342</v>
      </c>
      <c r="Q11" s="422"/>
      <c r="R11" s="393">
        <f t="shared" si="6"/>
        <v>24613844.945508342</v>
      </c>
      <c r="S11" s="374">
        <f t="shared" si="7"/>
        <v>976721.9110891968</v>
      </c>
      <c r="T11" s="79">
        <f t="shared" si="0"/>
        <v>0.86131631942251607</v>
      </c>
      <c r="U11" s="180">
        <f t="shared" si="13"/>
        <v>3963164.9061232917</v>
      </c>
      <c r="V11" s="124">
        <f>U11/ITA!B9*1000</f>
        <v>100.72730337270926</v>
      </c>
      <c r="W11" s="79"/>
      <c r="X11" s="393">
        <f t="shared" si="8"/>
        <v>0</v>
      </c>
      <c r="Y11" s="374">
        <f t="shared" si="14"/>
        <v>24613844.945508342</v>
      </c>
      <c r="Z11" s="374">
        <f t="shared" si="9"/>
        <v>976721.9110891968</v>
      </c>
      <c r="AA11" s="79">
        <f t="shared" si="10"/>
        <v>0.86131631942251607</v>
      </c>
      <c r="AB11" s="180">
        <f t="shared" si="11"/>
        <v>3963164.9061232917</v>
      </c>
      <c r="AC11" s="124">
        <f>AB11/ITA!B9*1000</f>
        <v>100.72730337270926</v>
      </c>
    </row>
    <row r="12" spans="1:29" x14ac:dyDescent="0.25">
      <c r="A12" s="125" t="s">
        <v>9</v>
      </c>
      <c r="B12" s="126">
        <v>2479.0500000000002</v>
      </c>
      <c r="C12" s="515">
        <v>1.9237556145916372E-3</v>
      </c>
      <c r="D12" s="382">
        <f>'Total Inst. Cost'!G10</f>
        <v>15298595.086391399</v>
      </c>
      <c r="E12" s="383">
        <f>Facilities!J20</f>
        <v>3556444.4860893651</v>
      </c>
      <c r="F12" s="384">
        <f>'District Services'!K19</f>
        <v>1220232.1101873219</v>
      </c>
      <c r="G12" s="405">
        <f t="shared" si="1"/>
        <v>20075271.682668086</v>
      </c>
      <c r="H12" s="132"/>
      <c r="I12" s="382">
        <f>'FY 19 State Pmt'!BL11</f>
        <v>12974059.230000002</v>
      </c>
      <c r="J12" s="383">
        <f>'Prop Tax'!K10</f>
        <v>2928063.056532206</v>
      </c>
      <c r="K12" s="539">
        <f t="shared" si="2"/>
        <v>15902122.286532208</v>
      </c>
      <c r="L12" s="421"/>
      <c r="M12" s="382">
        <f t="shared" si="12"/>
        <v>7437150.0000000009</v>
      </c>
      <c r="N12" s="392">
        <f t="shared" si="3"/>
        <v>12638121.682668086</v>
      </c>
      <c r="O12" s="392">
        <f t="shared" si="4"/>
        <v>3172616.6376056164</v>
      </c>
      <c r="P12" s="181">
        <f t="shared" si="5"/>
        <v>9465505.0450624693</v>
      </c>
      <c r="Q12" s="421"/>
      <c r="R12" s="392">
        <f t="shared" si="6"/>
        <v>16902655.045062471</v>
      </c>
      <c r="S12" s="373">
        <f t="shared" si="7"/>
        <v>1000532.7585302629</v>
      </c>
      <c r="T12" s="132">
        <f t="shared" si="0"/>
        <v>0.84196395008966762</v>
      </c>
      <c r="U12" s="181">
        <f t="shared" si="13"/>
        <v>3172616.637605615</v>
      </c>
      <c r="V12" s="134">
        <f>U12/ITA!B10*1000</f>
        <v>100.7273033727092</v>
      </c>
      <c r="W12" s="132"/>
      <c r="X12" s="392">
        <f t="shared" si="8"/>
        <v>0</v>
      </c>
      <c r="Y12" s="373">
        <f t="shared" si="14"/>
        <v>16902655.045062471</v>
      </c>
      <c r="Z12" s="373">
        <f t="shared" si="9"/>
        <v>1000532.7585302629</v>
      </c>
      <c r="AA12" s="132">
        <f t="shared" si="10"/>
        <v>0.84196395008966762</v>
      </c>
      <c r="AB12" s="181">
        <f t="shared" si="11"/>
        <v>3172616.637605615</v>
      </c>
      <c r="AC12" s="134">
        <f>AB12/ITA!B10*1000</f>
        <v>100.7273033727092</v>
      </c>
    </row>
    <row r="13" spans="1:29" x14ac:dyDescent="0.25">
      <c r="A13" s="123" t="s">
        <v>10</v>
      </c>
      <c r="B13" s="47">
        <v>2744.29</v>
      </c>
      <c r="C13" s="516">
        <v>4.6723909517254244E-3</v>
      </c>
      <c r="D13" s="379">
        <f>'Total Inst. Cost'!G11</f>
        <v>16585854.022307459</v>
      </c>
      <c r="E13" s="380">
        <f>Facilities!J21</f>
        <v>3871458.191315644</v>
      </c>
      <c r="F13" s="381">
        <f>'District Services'!K20</f>
        <v>1229017.169348479</v>
      </c>
      <c r="G13" s="406">
        <f t="shared" si="1"/>
        <v>21686329.382971581</v>
      </c>
      <c r="H13" s="79"/>
      <c r="I13" s="379">
        <f>'FY 19 State Pmt'!BL12</f>
        <v>11346702.609999999</v>
      </c>
      <c r="J13" s="380">
        <f>'Prop Tax'!K11</f>
        <v>5828525.2217767099</v>
      </c>
      <c r="K13" s="540">
        <f t="shared" si="2"/>
        <v>17175227.831776708</v>
      </c>
      <c r="L13" s="422"/>
      <c r="M13" s="379">
        <f t="shared" si="12"/>
        <v>8232870</v>
      </c>
      <c r="N13" s="393">
        <f t="shared" si="3"/>
        <v>13453459.382971581</v>
      </c>
      <c r="O13" s="393">
        <f t="shared" si="4"/>
        <v>7705607.2810936049</v>
      </c>
      <c r="P13" s="180">
        <f t="shared" si="5"/>
        <v>5747852.1018779762</v>
      </c>
      <c r="Q13" s="422"/>
      <c r="R13" s="393">
        <f t="shared" si="6"/>
        <v>13980722.101877976</v>
      </c>
      <c r="S13" s="374">
        <f t="shared" si="7"/>
        <v>-3194505.7298987322</v>
      </c>
      <c r="T13" s="79">
        <f t="shared" si="0"/>
        <v>0.64467904434098655</v>
      </c>
      <c r="U13" s="180">
        <f t="shared" si="13"/>
        <v>7705607.2810936049</v>
      </c>
      <c r="V13" s="124">
        <f>U13/ITA!B11*1000</f>
        <v>100.72730337270924</v>
      </c>
      <c r="W13" s="79"/>
      <c r="X13" s="393">
        <f t="shared" si="8"/>
        <v>3194505.7298987322</v>
      </c>
      <c r="Y13" s="374">
        <f>X13+R13</f>
        <v>17175227.831776708</v>
      </c>
      <c r="Z13" s="374">
        <f t="shared" si="9"/>
        <v>0</v>
      </c>
      <c r="AA13" s="79">
        <f t="shared" si="10"/>
        <v>0.79198408953720612</v>
      </c>
      <c r="AB13" s="180">
        <f t="shared" si="11"/>
        <v>4511101.5511948727</v>
      </c>
      <c r="AC13" s="124">
        <f>AB13/ITA!B11*1000</f>
        <v>58.968888228601308</v>
      </c>
    </row>
    <row r="14" spans="1:29" x14ac:dyDescent="0.25">
      <c r="A14" s="125" t="s">
        <v>11</v>
      </c>
      <c r="B14" s="126">
        <v>12671.61</v>
      </c>
      <c r="C14" s="515">
        <v>1.4160792416760841E-2</v>
      </c>
      <c r="D14" s="382">
        <f>'Total Inst. Cost'!G12</f>
        <v>75296150.81455341</v>
      </c>
      <c r="E14" s="383">
        <f>Facilities!J22</f>
        <v>17769006.748170268</v>
      </c>
      <c r="F14" s="384">
        <f>'District Services'!K21</f>
        <v>3457841.2403447316</v>
      </c>
      <c r="G14" s="405">
        <f t="shared" si="1"/>
        <v>96522998.803068414</v>
      </c>
      <c r="H14" s="132"/>
      <c r="I14" s="382">
        <f>'FY 19 State Pmt'!BL13</f>
        <v>56319472.889999993</v>
      </c>
      <c r="J14" s="383">
        <f>'Prop Tax'!K12</f>
        <v>19633766.877142113</v>
      </c>
      <c r="K14" s="539">
        <f t="shared" si="2"/>
        <v>75953239.767142102</v>
      </c>
      <c r="L14" s="421"/>
      <c r="M14" s="382">
        <f t="shared" si="12"/>
        <v>38014830</v>
      </c>
      <c r="N14" s="392">
        <f t="shared" si="3"/>
        <v>58508168.803068414</v>
      </c>
      <c r="O14" s="392">
        <f t="shared" si="4"/>
        <v>23353676.154250842</v>
      </c>
      <c r="P14" s="181">
        <f t="shared" si="5"/>
        <v>35154492.648817569</v>
      </c>
      <c r="Q14" s="421"/>
      <c r="R14" s="392">
        <f t="shared" si="6"/>
        <v>73169322.648817569</v>
      </c>
      <c r="S14" s="373">
        <f t="shared" si="7"/>
        <v>-2783917.1183245331</v>
      </c>
      <c r="T14" s="132">
        <f t="shared" si="0"/>
        <v>0.75805065690200624</v>
      </c>
      <c r="U14" s="181">
        <f t="shared" si="13"/>
        <v>23353676.154250845</v>
      </c>
      <c r="V14" s="134">
        <f>U14/ITA!B12*1000</f>
        <v>100.72730337270926</v>
      </c>
      <c r="W14" s="132"/>
      <c r="X14" s="392">
        <f t="shared" si="8"/>
        <v>2783917.1183245331</v>
      </c>
      <c r="Y14" s="373">
        <f>X14+R14</f>
        <v>75953239.767142102</v>
      </c>
      <c r="Z14" s="373">
        <f t="shared" si="9"/>
        <v>0</v>
      </c>
      <c r="AA14" s="132">
        <f t="shared" si="10"/>
        <v>0.78689266505391242</v>
      </c>
      <c r="AB14" s="181">
        <f t="shared" si="11"/>
        <v>20569759.035926312</v>
      </c>
      <c r="AC14" s="134">
        <f>AB14/ITA!B12*1000</f>
        <v>88.71992336581846</v>
      </c>
    </row>
    <row r="15" spans="1:29" x14ac:dyDescent="0.25">
      <c r="A15" s="123" t="s">
        <v>12</v>
      </c>
      <c r="B15" s="47">
        <v>1256.76</v>
      </c>
      <c r="C15" s="516">
        <v>7.9907861340166339E-4</v>
      </c>
      <c r="D15" s="379">
        <f>'Total Inst. Cost'!G13</f>
        <v>7686152.0506446445</v>
      </c>
      <c r="E15" s="380">
        <f>Facilities!J23</f>
        <v>1802817.515304361</v>
      </c>
      <c r="F15" s="381">
        <f>'District Services'!K22</f>
        <v>1166864.6720927164</v>
      </c>
      <c r="G15" s="404">
        <f t="shared" si="1"/>
        <v>10655834.238041723</v>
      </c>
      <c r="H15" s="79"/>
      <c r="I15" s="379">
        <f>'FY 19 State Pmt'!BL14</f>
        <v>6659539.7800000021</v>
      </c>
      <c r="J15" s="380">
        <f>'Prop Tax'!K13</f>
        <v>2576980.9675364122</v>
      </c>
      <c r="K15" s="540">
        <f t="shared" si="2"/>
        <v>9236520.7475364134</v>
      </c>
      <c r="L15" s="422"/>
      <c r="M15" s="379">
        <f t="shared" si="12"/>
        <v>3770280</v>
      </c>
      <c r="N15" s="393">
        <f t="shared" si="3"/>
        <v>6885554.2380417231</v>
      </c>
      <c r="O15" s="393">
        <f t="shared" si="4"/>
        <v>1317823.3682094249</v>
      </c>
      <c r="P15" s="180">
        <f t="shared" si="5"/>
        <v>5567730.8698322978</v>
      </c>
      <c r="Q15" s="422"/>
      <c r="R15" s="393">
        <f t="shared" si="6"/>
        <v>9338010.8698322978</v>
      </c>
      <c r="S15" s="374">
        <f t="shared" si="7"/>
        <v>101490.12229588442</v>
      </c>
      <c r="T15" s="79">
        <f t="shared" si="0"/>
        <v>0.87632846581783841</v>
      </c>
      <c r="U15" s="180">
        <f t="shared" si="13"/>
        <v>1317823.3682094254</v>
      </c>
      <c r="V15" s="124">
        <f>U15/ITA!B13*1000</f>
        <v>100.72730337270929</v>
      </c>
      <c r="W15" s="79"/>
      <c r="X15" s="393">
        <f t="shared" si="8"/>
        <v>0</v>
      </c>
      <c r="Y15" s="374">
        <f t="shared" si="14"/>
        <v>9338010.8698322978</v>
      </c>
      <c r="Z15" s="374">
        <f t="shared" si="9"/>
        <v>101490.12229588442</v>
      </c>
      <c r="AA15" s="79">
        <f t="shared" si="10"/>
        <v>0.87632846581783841</v>
      </c>
      <c r="AB15" s="180">
        <f t="shared" si="11"/>
        <v>1317823.3682094254</v>
      </c>
      <c r="AC15" s="124">
        <f>AB15/ITA!B13*1000</f>
        <v>100.72730337270929</v>
      </c>
    </row>
    <row r="16" spans="1:29" x14ac:dyDescent="0.25">
      <c r="A16" s="125" t="s">
        <v>13</v>
      </c>
      <c r="B16" s="126">
        <v>638.25</v>
      </c>
      <c r="C16" s="515">
        <v>6.1247110850467428E-4</v>
      </c>
      <c r="D16" s="382">
        <f>'Total Inst. Cost'!G14</f>
        <v>4244941.7549113333</v>
      </c>
      <c r="E16" s="383">
        <f>Facilities!J24</f>
        <v>980612.75196510064</v>
      </c>
      <c r="F16" s="384">
        <f>'District Services'!K23</f>
        <v>1142640.1561674955</v>
      </c>
      <c r="G16" s="405">
        <f t="shared" si="1"/>
        <v>6368194.6630439293</v>
      </c>
      <c r="H16" s="132"/>
      <c r="I16" s="382">
        <f>'FY 19 State Pmt'!BL15</f>
        <v>3543822.72</v>
      </c>
      <c r="J16" s="383">
        <f>'Prop Tax'!K14</f>
        <v>1584188.5561002514</v>
      </c>
      <c r="K16" s="539">
        <f t="shared" si="2"/>
        <v>5128011.2761002518</v>
      </c>
      <c r="L16" s="421"/>
      <c r="M16" s="382">
        <f t="shared" si="12"/>
        <v>1914750</v>
      </c>
      <c r="N16" s="392">
        <f t="shared" si="3"/>
        <v>4453444.6630439293</v>
      </c>
      <c r="O16" s="392">
        <f t="shared" si="4"/>
        <v>1010074.2600338875</v>
      </c>
      <c r="P16" s="181">
        <f t="shared" si="5"/>
        <v>3443370.4030100419</v>
      </c>
      <c r="Q16" s="421"/>
      <c r="R16" s="392">
        <f t="shared" si="6"/>
        <v>5358120.4030100424</v>
      </c>
      <c r="S16" s="373">
        <f t="shared" si="7"/>
        <v>230109.12690979056</v>
      </c>
      <c r="T16" s="132">
        <f t="shared" si="0"/>
        <v>0.8413876595362928</v>
      </c>
      <c r="U16" s="181">
        <f t="shared" si="13"/>
        <v>1010074.2600338869</v>
      </c>
      <c r="V16" s="134">
        <f>U16/ITA!B14*1000</f>
        <v>100.72730337270919</v>
      </c>
      <c r="W16" s="132"/>
      <c r="X16" s="392">
        <f t="shared" si="8"/>
        <v>0</v>
      </c>
      <c r="Y16" s="373">
        <f t="shared" si="14"/>
        <v>5358120.4030100424</v>
      </c>
      <c r="Z16" s="373">
        <f t="shared" si="9"/>
        <v>230109.12690979056</v>
      </c>
      <c r="AA16" s="132">
        <f t="shared" si="10"/>
        <v>0.8413876595362928</v>
      </c>
      <c r="AB16" s="181">
        <f t="shared" si="11"/>
        <v>1010074.2600338869</v>
      </c>
      <c r="AC16" s="134">
        <f>AB16/ITA!B14*1000</f>
        <v>100.72730337270919</v>
      </c>
    </row>
    <row r="17" spans="1:29" x14ac:dyDescent="0.25">
      <c r="A17" s="123" t="s">
        <v>14</v>
      </c>
      <c r="B17" s="47">
        <v>587.14</v>
      </c>
      <c r="C17" s="516">
        <v>4.7623242780110166E-4</v>
      </c>
      <c r="D17" s="379">
        <f>'Total Inst. Cost'!G15</f>
        <v>3857935.0405306006</v>
      </c>
      <c r="E17" s="380">
        <f>Facilities!J25</f>
        <v>884186.53300260997</v>
      </c>
      <c r="F17" s="381">
        <f>'District Services'!K24</f>
        <v>1139423.0827173365</v>
      </c>
      <c r="G17" s="406">
        <f t="shared" si="1"/>
        <v>5881544.6562505476</v>
      </c>
      <c r="H17" s="79"/>
      <c r="I17" s="379">
        <f>'FY 19 State Pmt'!BL16</f>
        <v>3216262.62</v>
      </c>
      <c r="J17" s="380">
        <f>'Prop Tax'!K15</f>
        <v>753068.87708475871</v>
      </c>
      <c r="K17" s="540">
        <f t="shared" si="2"/>
        <v>3969331.4970847587</v>
      </c>
      <c r="L17" s="422"/>
      <c r="M17" s="379">
        <f t="shared" si="12"/>
        <v>1761420</v>
      </c>
      <c r="N17" s="393">
        <f t="shared" si="3"/>
        <v>4120124.6562505476</v>
      </c>
      <c r="O17" s="393">
        <f t="shared" si="4"/>
        <v>785392.34003993566</v>
      </c>
      <c r="P17" s="180">
        <f t="shared" si="5"/>
        <v>3334732.3162106117</v>
      </c>
      <c r="Q17" s="422"/>
      <c r="R17" s="393">
        <f t="shared" si="6"/>
        <v>5096152.3162106117</v>
      </c>
      <c r="S17" s="374">
        <f t="shared" si="7"/>
        <v>1126820.819125853</v>
      </c>
      <c r="T17" s="79">
        <f t="shared" si="0"/>
        <v>0.86646495335111184</v>
      </c>
      <c r="U17" s="180">
        <f t="shared" si="13"/>
        <v>785392.34003993589</v>
      </c>
      <c r="V17" s="124">
        <f>U17/ITA!B15*1000</f>
        <v>100.72730337270927</v>
      </c>
      <c r="W17" s="79"/>
      <c r="X17" s="393">
        <f t="shared" si="8"/>
        <v>0</v>
      </c>
      <c r="Y17" s="374">
        <f t="shared" si="14"/>
        <v>5096152.3162106117</v>
      </c>
      <c r="Z17" s="374">
        <f t="shared" si="9"/>
        <v>1126820.819125853</v>
      </c>
      <c r="AA17" s="79">
        <f t="shared" si="10"/>
        <v>0.86646495335111184</v>
      </c>
      <c r="AB17" s="180">
        <f t="shared" si="11"/>
        <v>785392.34003993589</v>
      </c>
      <c r="AC17" s="124">
        <f>AB17/ITA!B15*1000</f>
        <v>100.72730337270927</v>
      </c>
    </row>
    <row r="18" spans="1:29" x14ac:dyDescent="0.25">
      <c r="A18" s="125" t="s">
        <v>15</v>
      </c>
      <c r="B18" s="126">
        <v>822.79</v>
      </c>
      <c r="C18" s="515">
        <v>6.907192565173537E-4</v>
      </c>
      <c r="D18" s="382">
        <f>'Total Inst. Cost'!G16</f>
        <v>5137142.9014278771</v>
      </c>
      <c r="E18" s="383">
        <f>Facilities!J26</f>
        <v>1190713.3936763052</v>
      </c>
      <c r="F18" s="384">
        <f>'District Services'!K25</f>
        <v>1148365.3868798784</v>
      </c>
      <c r="G18" s="405">
        <f t="shared" si="1"/>
        <v>7476221.6819840604</v>
      </c>
      <c r="H18" s="132"/>
      <c r="I18" s="382">
        <f>'FY 19 State Pmt'!BL17</f>
        <v>4452688.8899999997</v>
      </c>
      <c r="J18" s="383">
        <f>'Prop Tax'!K16</f>
        <v>1191271.1258911302</v>
      </c>
      <c r="K18" s="539">
        <f t="shared" si="2"/>
        <v>5643960.0158911301</v>
      </c>
      <c r="L18" s="421"/>
      <c r="M18" s="382">
        <f t="shared" si="12"/>
        <v>2468370</v>
      </c>
      <c r="N18" s="392">
        <f t="shared" si="3"/>
        <v>5007851.6819840604</v>
      </c>
      <c r="O18" s="392">
        <f t="shared" si="4"/>
        <v>1139119.4331129799</v>
      </c>
      <c r="P18" s="181">
        <f t="shared" si="5"/>
        <v>3868732.2488710806</v>
      </c>
      <c r="Q18" s="421"/>
      <c r="R18" s="392">
        <f t="shared" si="6"/>
        <v>6337102.2488710806</v>
      </c>
      <c r="S18" s="373">
        <f t="shared" si="7"/>
        <v>693142.2329799505</v>
      </c>
      <c r="T18" s="132">
        <f t="shared" si="0"/>
        <v>0.84763434237671276</v>
      </c>
      <c r="U18" s="181">
        <f t="shared" si="13"/>
        <v>1139119.4331129799</v>
      </c>
      <c r="V18" s="134">
        <f>U18/ITA!B16*1000</f>
        <v>100.72730337270923</v>
      </c>
      <c r="W18" s="132"/>
      <c r="X18" s="392">
        <f t="shared" si="8"/>
        <v>0</v>
      </c>
      <c r="Y18" s="373">
        <f t="shared" si="14"/>
        <v>6337102.2488710806</v>
      </c>
      <c r="Z18" s="373">
        <f t="shared" si="9"/>
        <v>693142.2329799505</v>
      </c>
      <c r="AA18" s="132">
        <f t="shared" si="10"/>
        <v>0.84763434237671276</v>
      </c>
      <c r="AB18" s="181">
        <f t="shared" si="11"/>
        <v>1139119.4331129799</v>
      </c>
      <c r="AC18" s="134">
        <f>AB18/ITA!B16*1000</f>
        <v>100.72730337270923</v>
      </c>
    </row>
    <row r="19" spans="1:29" x14ac:dyDescent="0.25">
      <c r="A19" s="123" t="s">
        <v>16</v>
      </c>
      <c r="B19" s="47">
        <v>2117.3200000000002</v>
      </c>
      <c r="C19" s="516">
        <v>1.3819499128908585E-3</v>
      </c>
      <c r="D19" s="379">
        <f>'Total Inst. Cost'!G17</f>
        <v>13252957.664817503</v>
      </c>
      <c r="E19" s="380">
        <f>Facilities!J27</f>
        <v>3080651.8666226477</v>
      </c>
      <c r="F19" s="381">
        <f>'District Services'!K26</f>
        <v>1206280.78467423</v>
      </c>
      <c r="G19" s="404">
        <f t="shared" si="1"/>
        <v>17539890.316114381</v>
      </c>
      <c r="H19" s="79"/>
      <c r="I19" s="379">
        <f>'FY 19 State Pmt'!BL18</f>
        <v>11164347.09</v>
      </c>
      <c r="J19" s="380">
        <f>'Prop Tax'!K17</f>
        <v>2508104.3512225533</v>
      </c>
      <c r="K19" s="540">
        <f t="shared" si="2"/>
        <v>13672451.441222552</v>
      </c>
      <c r="L19" s="422"/>
      <c r="M19" s="379">
        <f t="shared" si="12"/>
        <v>6351960.0000000009</v>
      </c>
      <c r="N19" s="393">
        <f t="shared" si="3"/>
        <v>11187930.316114381</v>
      </c>
      <c r="O19" s="393">
        <f t="shared" si="4"/>
        <v>2279082.2559370995</v>
      </c>
      <c r="P19" s="180">
        <f t="shared" si="5"/>
        <v>8908848.0601772815</v>
      </c>
      <c r="Q19" s="422"/>
      <c r="R19" s="393">
        <f t="shared" si="6"/>
        <v>15260808.060177281</v>
      </c>
      <c r="S19" s="374">
        <f t="shared" si="7"/>
        <v>1588356.6189547293</v>
      </c>
      <c r="T19" s="79">
        <f t="shared" si="0"/>
        <v>0.87006291288815851</v>
      </c>
      <c r="U19" s="180">
        <f t="shared" si="13"/>
        <v>2279082.2559370995</v>
      </c>
      <c r="V19" s="124">
        <f>U19/ITA!B17*1000</f>
        <v>100.72730337270924</v>
      </c>
      <c r="W19" s="79"/>
      <c r="X19" s="393">
        <f t="shared" si="8"/>
        <v>0</v>
      </c>
      <c r="Y19" s="374">
        <f t="shared" si="14"/>
        <v>15260808.060177281</v>
      </c>
      <c r="Z19" s="374">
        <f t="shared" si="9"/>
        <v>1588356.6189547293</v>
      </c>
      <c r="AA19" s="79">
        <f t="shared" si="10"/>
        <v>0.87006291288815851</v>
      </c>
      <c r="AB19" s="180">
        <f t="shared" si="11"/>
        <v>2279082.2559370995</v>
      </c>
      <c r="AC19" s="124">
        <f>AB19/ITA!B17*1000</f>
        <v>100.72730337270924</v>
      </c>
    </row>
    <row r="20" spans="1:29" x14ac:dyDescent="0.25">
      <c r="A20" s="125" t="s">
        <v>17</v>
      </c>
      <c r="B20" s="126">
        <v>21287.25</v>
      </c>
      <c r="C20" s="515">
        <v>7.7120292428984563E-2</v>
      </c>
      <c r="D20" s="382">
        <f>'Total Inst. Cost'!G18</f>
        <v>123173614.89842042</v>
      </c>
      <c r="E20" s="383">
        <f>Facilities!J28</f>
        <v>28771726.305254482</v>
      </c>
      <c r="F20" s="384">
        <f>'District Services'!K27</f>
        <v>4077752.1450276757</v>
      </c>
      <c r="G20" s="405">
        <f t="shared" si="1"/>
        <v>156023093.34870258</v>
      </c>
      <c r="H20" s="132"/>
      <c r="I20" s="382">
        <f>'FY 19 State Pmt'!BL19</f>
        <v>38788642.430000007</v>
      </c>
      <c r="J20" s="383">
        <f>'Prop Tax'!K18</f>
        <v>55812655.439504087</v>
      </c>
      <c r="K20" s="539">
        <f t="shared" si="2"/>
        <v>94601297.869504094</v>
      </c>
      <c r="L20" s="421"/>
      <c r="M20" s="382">
        <f t="shared" si="12"/>
        <v>63861750</v>
      </c>
      <c r="N20" s="392">
        <f t="shared" si="3"/>
        <v>92161343.34870258</v>
      </c>
      <c r="O20" s="392">
        <f t="shared" si="4"/>
        <v>92161343.34870258</v>
      </c>
      <c r="P20" s="181">
        <f>N20-O20</f>
        <v>0</v>
      </c>
      <c r="Q20" s="421"/>
      <c r="R20" s="392">
        <f>P20+M20</f>
        <v>63861750</v>
      </c>
      <c r="S20" s="373">
        <f t="shared" si="7"/>
        <v>-30739547.869504094</v>
      </c>
      <c r="T20" s="132">
        <f t="shared" si="0"/>
        <v>0.40930960045300913</v>
      </c>
      <c r="U20" s="181">
        <f t="shared" si="13"/>
        <v>92161343.34870258</v>
      </c>
      <c r="V20" s="134">
        <f>U20/ITA!B18*1000</f>
        <v>72.989374027996192</v>
      </c>
      <c r="W20" s="132"/>
      <c r="X20" s="392">
        <f t="shared" si="8"/>
        <v>30739547.869504094</v>
      </c>
      <c r="Y20" s="373">
        <f t="shared" si="14"/>
        <v>94601297.869504094</v>
      </c>
      <c r="Z20" s="373">
        <f t="shared" si="9"/>
        <v>0</v>
      </c>
      <c r="AA20" s="132">
        <f t="shared" si="10"/>
        <v>0.60632881863248067</v>
      </c>
      <c r="AB20" s="181">
        <f t="shared" si="11"/>
        <v>61421795.479198486</v>
      </c>
      <c r="AC20" s="134">
        <f>AB20/ITA!B18*1000</f>
        <v>48.644455916184477</v>
      </c>
    </row>
    <row r="21" spans="1:29" x14ac:dyDescent="0.25">
      <c r="A21" s="123" t="s">
        <v>18</v>
      </c>
      <c r="B21" s="47">
        <v>34520.18</v>
      </c>
      <c r="C21" s="516">
        <v>3.989781728574758E-2</v>
      </c>
      <c r="D21" s="379">
        <f>'Total Inst. Cost'!G19</f>
        <v>200496627.66509283</v>
      </c>
      <c r="E21" s="380">
        <f>Facilities!J29</f>
        <v>47308072.134319797</v>
      </c>
      <c r="F21" s="381">
        <f>'District Services'!K28</f>
        <v>4636368.3950841073</v>
      </c>
      <c r="G21" s="406">
        <f t="shared" si="1"/>
        <v>252441068.19449672</v>
      </c>
      <c r="H21" s="79"/>
      <c r="I21" s="379">
        <f>'FY 19 State Pmt'!BL20</f>
        <v>148881261.52000007</v>
      </c>
      <c r="J21" s="380">
        <f>'Prop Tax'!K19</f>
        <v>43082549.763775848</v>
      </c>
      <c r="K21" s="540">
        <f t="shared" si="2"/>
        <v>191963811.28377593</v>
      </c>
      <c r="L21" s="422"/>
      <c r="M21" s="379">
        <f t="shared" si="12"/>
        <v>103560540</v>
      </c>
      <c r="N21" s="393">
        <f t="shared" si="3"/>
        <v>148880528.19449672</v>
      </c>
      <c r="O21" s="393">
        <f t="shared" si="4"/>
        <v>65798627.416498244</v>
      </c>
      <c r="P21" s="180">
        <f t="shared" si="5"/>
        <v>83081900.777998477</v>
      </c>
      <c r="Q21" s="422"/>
      <c r="R21" s="393">
        <f t="shared" si="6"/>
        <v>186642440.77799848</v>
      </c>
      <c r="S21" s="374">
        <f t="shared" si="7"/>
        <v>-5321370.5057774484</v>
      </c>
      <c r="T21" s="79">
        <f t="shared" si="0"/>
        <v>0.73935054273418466</v>
      </c>
      <c r="U21" s="180">
        <f t="shared" si="13"/>
        <v>65798627.416498244</v>
      </c>
      <c r="V21" s="124">
        <f>U21/ITA!B19*1000</f>
        <v>100.72730337270924</v>
      </c>
      <c r="W21" s="79"/>
      <c r="X21" s="393">
        <f t="shared" si="8"/>
        <v>5321370.5057774484</v>
      </c>
      <c r="Y21" s="374">
        <f t="shared" si="14"/>
        <v>191963811.28377593</v>
      </c>
      <c r="Z21" s="374">
        <f t="shared" si="9"/>
        <v>0</v>
      </c>
      <c r="AA21" s="79">
        <f t="shared" si="10"/>
        <v>0.76043019726043448</v>
      </c>
      <c r="AB21" s="180">
        <f t="shared" si="11"/>
        <v>60477256.910720795</v>
      </c>
      <c r="AC21" s="124">
        <f>AB21/ITA!B19*1000</f>
        <v>92.581125825552164</v>
      </c>
    </row>
    <row r="22" spans="1:29" x14ac:dyDescent="0.25">
      <c r="A22" s="125" t="s">
        <v>19</v>
      </c>
      <c r="B22" s="126">
        <v>1587.18</v>
      </c>
      <c r="C22" s="515">
        <v>4.0352253928636868E-3</v>
      </c>
      <c r="D22" s="382">
        <f>'Total Inst. Cost'!G20</f>
        <v>9974057.7382178698</v>
      </c>
      <c r="E22" s="383">
        <f>Facilities!J30</f>
        <v>2320737.9786725938</v>
      </c>
      <c r="F22" s="384">
        <f>'District Services'!K29</f>
        <v>1183162.9587093696</v>
      </c>
      <c r="G22" s="405">
        <f t="shared" si="1"/>
        <v>13477958.675599834</v>
      </c>
      <c r="H22" s="132"/>
      <c r="I22" s="382">
        <f>'FY 19 State Pmt'!BL21</f>
        <v>5572057.169999999</v>
      </c>
      <c r="J22" s="383">
        <f>'Prop Tax'!K20</f>
        <v>4167273.6631478528</v>
      </c>
      <c r="K22" s="539">
        <f t="shared" si="2"/>
        <v>9739330.8331478518</v>
      </c>
      <c r="L22" s="421"/>
      <c r="M22" s="382">
        <f t="shared" si="12"/>
        <v>4761540</v>
      </c>
      <c r="N22" s="392">
        <f t="shared" si="3"/>
        <v>8716418.675599834</v>
      </c>
      <c r="O22" s="392">
        <f t="shared" si="4"/>
        <v>6654807.4613965806</v>
      </c>
      <c r="P22" s="181">
        <f t="shared" si="5"/>
        <v>2061611.2142032534</v>
      </c>
      <c r="Q22" s="421"/>
      <c r="R22" s="392">
        <f t="shared" si="6"/>
        <v>6823151.2142032534</v>
      </c>
      <c r="S22" s="373">
        <f t="shared" si="7"/>
        <v>-2916179.6189445984</v>
      </c>
      <c r="T22" s="132">
        <f t="shared" si="0"/>
        <v>0.50624515020629346</v>
      </c>
      <c r="U22" s="181">
        <f t="shared" si="13"/>
        <v>6654807.4613965806</v>
      </c>
      <c r="V22" s="134">
        <f>U22/ITA!B20*1000</f>
        <v>100.72730337270924</v>
      </c>
      <c r="W22" s="132"/>
      <c r="X22" s="392">
        <f t="shared" si="8"/>
        <v>2916179.6189445984</v>
      </c>
      <c r="Y22" s="373">
        <f t="shared" si="14"/>
        <v>9739330.8331478518</v>
      </c>
      <c r="Z22" s="373">
        <f t="shared" si="9"/>
        <v>0</v>
      </c>
      <c r="AA22" s="132">
        <f t="shared" si="10"/>
        <v>0.72261171499061627</v>
      </c>
      <c r="AB22" s="181">
        <f t="shared" si="11"/>
        <v>3738627.8424519822</v>
      </c>
      <c r="AC22" s="134">
        <f>AB22/ITA!B20*1000</f>
        <v>56.587948346936635</v>
      </c>
    </row>
    <row r="23" spans="1:29" x14ac:dyDescent="0.25">
      <c r="A23" s="123" t="s">
        <v>20</v>
      </c>
      <c r="B23" s="47">
        <v>46485.36</v>
      </c>
      <c r="C23" s="516">
        <v>0.14230496785172694</v>
      </c>
      <c r="D23" s="379">
        <f>'Total Inst. Cost'!G21</f>
        <v>263670291.25483599</v>
      </c>
      <c r="E23" s="380">
        <f>Facilities!J31</f>
        <v>62450010.15781197</v>
      </c>
      <c r="F23" s="381">
        <f>'District Services'!K30</f>
        <v>5072409.4899968803</v>
      </c>
      <c r="G23" s="404">
        <f t="shared" si="1"/>
        <v>331192710.90264487</v>
      </c>
      <c r="H23" s="79"/>
      <c r="I23" s="379">
        <f>'FY 19 State Pmt'!BL22</f>
        <v>108460893.19000001</v>
      </c>
      <c r="J23" s="380">
        <f>'Prop Tax'!K21</f>
        <v>97634163.722700834</v>
      </c>
      <c r="K23" s="540">
        <f t="shared" si="2"/>
        <v>206095056.91270083</v>
      </c>
      <c r="L23" s="422"/>
      <c r="M23" s="379">
        <f t="shared" si="12"/>
        <v>139456080</v>
      </c>
      <c r="N23" s="393">
        <f t="shared" si="3"/>
        <v>191736630.90264487</v>
      </c>
      <c r="O23" s="393">
        <f t="shared" si="4"/>
        <v>191736630.90264487</v>
      </c>
      <c r="P23" s="180">
        <f t="shared" si="5"/>
        <v>0</v>
      </c>
      <c r="Q23" s="422"/>
      <c r="R23" s="393">
        <f t="shared" si="6"/>
        <v>139456080</v>
      </c>
      <c r="S23" s="374">
        <f t="shared" si="7"/>
        <v>-66638976.912700832</v>
      </c>
      <c r="T23" s="79">
        <f t="shared" si="0"/>
        <v>0.42107231049838395</v>
      </c>
      <c r="U23" s="180">
        <f t="shared" si="13"/>
        <v>191736630.90264487</v>
      </c>
      <c r="V23" s="124">
        <f>U23/ITA!B21*1000</f>
        <v>82.293311864615703</v>
      </c>
      <c r="W23" s="79"/>
      <c r="X23" s="393">
        <f t="shared" si="8"/>
        <v>66638976.912700832</v>
      </c>
      <c r="Y23" s="374">
        <f t="shared" si="14"/>
        <v>206095056.91270083</v>
      </c>
      <c r="Z23" s="374">
        <f t="shared" si="9"/>
        <v>0</v>
      </c>
      <c r="AA23" s="79">
        <f t="shared" si="10"/>
        <v>0.62228137917347803</v>
      </c>
      <c r="AB23" s="180">
        <f t="shared" si="11"/>
        <v>125097653.98994404</v>
      </c>
      <c r="AC23" s="124">
        <f>AB23/ITA!B21*1000</f>
        <v>53.691880392711361</v>
      </c>
    </row>
    <row r="24" spans="1:29" x14ac:dyDescent="0.25">
      <c r="A24" s="125" t="s">
        <v>21</v>
      </c>
      <c r="B24" s="126">
        <v>8259.2199999999993</v>
      </c>
      <c r="C24" s="515">
        <v>9.2500362391662126E-3</v>
      </c>
      <c r="D24" s="382">
        <f>'Total Inst. Cost'!G22</f>
        <v>49882694.83583156</v>
      </c>
      <c r="E24" s="383">
        <f>Facilities!J32</f>
        <v>11686552.268931784</v>
      </c>
      <c r="F24" s="384">
        <f>'District Services'!K31</f>
        <v>2219873.6794466879</v>
      </c>
      <c r="G24" s="405">
        <f t="shared" si="1"/>
        <v>63789120.784210034</v>
      </c>
      <c r="H24" s="132"/>
      <c r="I24" s="382">
        <f>'FY 19 State Pmt'!BL23</f>
        <v>38459639.490000002</v>
      </c>
      <c r="J24" s="383">
        <f>'Prop Tax'!K22</f>
        <v>12386165.844854526</v>
      </c>
      <c r="K24" s="539">
        <f t="shared" si="2"/>
        <v>50845805.334854528</v>
      </c>
      <c r="L24" s="421"/>
      <c r="M24" s="382">
        <f t="shared" si="12"/>
        <v>24777659.999999996</v>
      </c>
      <c r="N24" s="392">
        <f t="shared" si="3"/>
        <v>39011460.784210041</v>
      </c>
      <c r="O24" s="392">
        <f t="shared" si="4"/>
        <v>15254962.037921418</v>
      </c>
      <c r="P24" s="181">
        <f t="shared" si="5"/>
        <v>23756498.746288624</v>
      </c>
      <c r="Q24" s="421"/>
      <c r="R24" s="392">
        <f t="shared" si="6"/>
        <v>48534158.74628862</v>
      </c>
      <c r="S24" s="373">
        <f t="shared" si="7"/>
        <v>-2311646.5885659084</v>
      </c>
      <c r="T24" s="132">
        <f t="shared" si="0"/>
        <v>0.76085323248886139</v>
      </c>
      <c r="U24" s="181">
        <f t="shared" si="13"/>
        <v>15254962.037921414</v>
      </c>
      <c r="V24" s="134">
        <f>U24/ITA!B22*1000</f>
        <v>100.72730337270922</v>
      </c>
      <c r="W24" s="132"/>
      <c r="X24" s="392">
        <f t="shared" si="8"/>
        <v>2311646.5885659084</v>
      </c>
      <c r="Y24" s="373">
        <f t="shared" si="14"/>
        <v>50845805.334854528</v>
      </c>
      <c r="Z24" s="373">
        <f t="shared" si="9"/>
        <v>0</v>
      </c>
      <c r="AA24" s="132">
        <f t="shared" si="10"/>
        <v>0.79709211711600492</v>
      </c>
      <c r="AB24" s="181">
        <f t="shared" si="11"/>
        <v>12943315.449355505</v>
      </c>
      <c r="AC24" s="134">
        <f>AB24/ITA!B22*1000</f>
        <v>85.463684450672659</v>
      </c>
    </row>
    <row r="25" spans="1:29" x14ac:dyDescent="0.25">
      <c r="A25" s="123" t="s">
        <v>22</v>
      </c>
      <c r="B25" s="47">
        <v>4970.04</v>
      </c>
      <c r="C25" s="516">
        <v>5.0065901774861855E-3</v>
      </c>
      <c r="D25" s="379">
        <f>'Total Inst. Cost'!G23</f>
        <v>30267058.135236464</v>
      </c>
      <c r="E25" s="380">
        <f>Facilities!J33</f>
        <v>7123112.5585139534</v>
      </c>
      <c r="F25" s="381">
        <f>'District Services'!K32</f>
        <v>1328687.3924386536</v>
      </c>
      <c r="G25" s="406">
        <f t="shared" si="1"/>
        <v>38718858.086189069</v>
      </c>
      <c r="H25" s="79"/>
      <c r="I25" s="379">
        <f>'FY 19 State Pmt'!BL24</f>
        <v>23875292.479999993</v>
      </c>
      <c r="J25" s="380">
        <f>'Prop Tax'!K23</f>
        <v>7437556.2248925511</v>
      </c>
      <c r="K25" s="540">
        <f t="shared" si="2"/>
        <v>31312848.704892546</v>
      </c>
      <c r="L25" s="422"/>
      <c r="M25" s="379">
        <f t="shared" si="12"/>
        <v>14910120</v>
      </c>
      <c r="N25" s="393">
        <f t="shared" si="3"/>
        <v>23808738.086189069</v>
      </c>
      <c r="O25" s="393">
        <f t="shared" si="4"/>
        <v>8256761.5004140129</v>
      </c>
      <c r="P25" s="180">
        <f t="shared" si="5"/>
        <v>15551976.585775055</v>
      </c>
      <c r="Q25" s="422"/>
      <c r="R25" s="393">
        <f t="shared" si="6"/>
        <v>30462096.585775055</v>
      </c>
      <c r="S25" s="374">
        <f t="shared" si="7"/>
        <v>-850752.11911749095</v>
      </c>
      <c r="T25" s="79">
        <f t="shared" si="0"/>
        <v>0.78675090360272837</v>
      </c>
      <c r="U25" s="180">
        <f t="shared" si="13"/>
        <v>8256761.5004140139</v>
      </c>
      <c r="V25" s="124">
        <f>U25/ITA!B23*1000</f>
        <v>100.72730337270926</v>
      </c>
      <c r="W25" s="79"/>
      <c r="X25" s="393">
        <f t="shared" si="8"/>
        <v>850752.11911749095</v>
      </c>
      <c r="Y25" s="374">
        <f t="shared" si="14"/>
        <v>31312848.704892546</v>
      </c>
      <c r="Z25" s="374">
        <f t="shared" si="9"/>
        <v>0</v>
      </c>
      <c r="AA25" s="79">
        <f t="shared" si="10"/>
        <v>0.80872345551073388</v>
      </c>
      <c r="AB25" s="180">
        <f t="shared" si="11"/>
        <v>7406009.3812965229</v>
      </c>
      <c r="AC25" s="124">
        <f>AB25/ITA!B23*1000</f>
        <v>90.348661965539392</v>
      </c>
    </row>
    <row r="26" spans="1:29" x14ac:dyDescent="0.25">
      <c r="A26" s="125" t="s">
        <v>23</v>
      </c>
      <c r="B26" s="126">
        <v>6691.02</v>
      </c>
      <c r="C26" s="515">
        <v>5.8511704907844827E-3</v>
      </c>
      <c r="D26" s="382">
        <f>'Total Inst. Cost'!G24</f>
        <v>40588993.905945361</v>
      </c>
      <c r="E26" s="383">
        <f>Facilities!J34</f>
        <v>9395801.5905674361</v>
      </c>
      <c r="F26" s="384">
        <f>'District Services'!K33</f>
        <v>1697133.2733241688</v>
      </c>
      <c r="G26" s="405">
        <f t="shared" si="1"/>
        <v>51681928.76983697</v>
      </c>
      <c r="H26" s="132"/>
      <c r="I26" s="382">
        <f>'FY 19 State Pmt'!BL25</f>
        <v>33318302.999999996</v>
      </c>
      <c r="J26" s="383">
        <f>'Prop Tax'!K24</f>
        <v>8105283.1067110524</v>
      </c>
      <c r="K26" s="539">
        <f t="shared" si="2"/>
        <v>41423586.106711045</v>
      </c>
      <c r="L26" s="421"/>
      <c r="M26" s="382">
        <f t="shared" si="12"/>
        <v>20073060</v>
      </c>
      <c r="N26" s="392">
        <f t="shared" si="3"/>
        <v>31608868.76983697</v>
      </c>
      <c r="O26" s="392">
        <f t="shared" si="4"/>
        <v>9649625.2994538583</v>
      </c>
      <c r="P26" s="181">
        <f t="shared" si="5"/>
        <v>21959243.470383111</v>
      </c>
      <c r="Q26" s="421"/>
      <c r="R26" s="392">
        <f t="shared" si="6"/>
        <v>42032303.470383108</v>
      </c>
      <c r="S26" s="373">
        <f t="shared" si="7"/>
        <v>608717.36367206275</v>
      </c>
      <c r="T26" s="132">
        <f t="shared" si="0"/>
        <v>0.81328821255050265</v>
      </c>
      <c r="U26" s="181">
        <f t="shared" si="13"/>
        <v>9649625.299453862</v>
      </c>
      <c r="V26" s="134">
        <f>U26/ITA!B24*1000</f>
        <v>100.72730337270927</v>
      </c>
      <c r="W26" s="132"/>
      <c r="X26" s="392">
        <f t="shared" si="8"/>
        <v>0</v>
      </c>
      <c r="Y26" s="373">
        <f t="shared" si="14"/>
        <v>42032303.470383108</v>
      </c>
      <c r="Z26" s="373">
        <f t="shared" si="9"/>
        <v>608717.36367206275</v>
      </c>
      <c r="AA26" s="132">
        <f t="shared" si="10"/>
        <v>0.81328821255050265</v>
      </c>
      <c r="AB26" s="181">
        <f t="shared" si="11"/>
        <v>9649625.299453862</v>
      </c>
      <c r="AC26" s="134">
        <f>AB26/ITA!B24*1000</f>
        <v>100.72730337270927</v>
      </c>
    </row>
    <row r="27" spans="1:29" x14ac:dyDescent="0.25">
      <c r="A27" s="123" t="s">
        <v>24</v>
      </c>
      <c r="B27" s="47">
        <v>710.4</v>
      </c>
      <c r="C27" s="516">
        <v>1.4402268979077219E-3</v>
      </c>
      <c r="D27" s="379">
        <f>'Total Inst. Cost'!G25</f>
        <v>4724198.6730411975</v>
      </c>
      <c r="E27" s="380">
        <f>Facilities!J35</f>
        <v>1091654.177198654</v>
      </c>
      <c r="F27" s="381">
        <f>'District Services'!K34</f>
        <v>1146111.5216626299</v>
      </c>
      <c r="G27" s="404">
        <f t="shared" si="1"/>
        <v>6961964.3719024817</v>
      </c>
      <c r="H27" s="79"/>
      <c r="I27" s="379">
        <f>'FY 19 State Pmt'!BL26</f>
        <v>3464007.09</v>
      </c>
      <c r="J27" s="380">
        <f>'Prop Tax'!K25</f>
        <v>1162856.68868247</v>
      </c>
      <c r="K27" s="540">
        <f t="shared" si="2"/>
        <v>4626863.7786824703</v>
      </c>
      <c r="L27" s="422"/>
      <c r="M27" s="379">
        <f t="shared" si="12"/>
        <v>2131200</v>
      </c>
      <c r="N27" s="393">
        <f t="shared" si="3"/>
        <v>4830764.3719024817</v>
      </c>
      <c r="O27" s="393">
        <f t="shared" si="4"/>
        <v>2375191.4139047768</v>
      </c>
      <c r="P27" s="180">
        <f t="shared" si="5"/>
        <v>2455572.9579977049</v>
      </c>
      <c r="Q27" s="422"/>
      <c r="R27" s="393">
        <f t="shared" si="6"/>
        <v>4586772.9579977049</v>
      </c>
      <c r="S27" s="374">
        <f t="shared" si="7"/>
        <v>-40090.820684765466</v>
      </c>
      <c r="T27" s="79">
        <f t="shared" si="0"/>
        <v>0.65883315584165891</v>
      </c>
      <c r="U27" s="180">
        <f t="shared" si="13"/>
        <v>2375191.4139047768</v>
      </c>
      <c r="V27" s="124">
        <f>U27/ITA!B25*1000</f>
        <v>100.72730337270924</v>
      </c>
      <c r="W27" s="79"/>
      <c r="X27" s="393">
        <f t="shared" si="8"/>
        <v>40090.820684765466</v>
      </c>
      <c r="Y27" s="374">
        <f t="shared" si="14"/>
        <v>4626863.7786824703</v>
      </c>
      <c r="Z27" s="374">
        <f t="shared" si="9"/>
        <v>0</v>
      </c>
      <c r="AA27" s="79">
        <f t="shared" si="10"/>
        <v>0.6645917059495231</v>
      </c>
      <c r="AB27" s="180">
        <f t="shared" si="11"/>
        <v>2335100.5932200113</v>
      </c>
      <c r="AC27" s="124">
        <f>AB27/ITA!B25*1000</f>
        <v>99.027128711444178</v>
      </c>
    </row>
    <row r="28" spans="1:29" x14ac:dyDescent="0.25">
      <c r="A28" s="125" t="s">
        <v>25</v>
      </c>
      <c r="B28" s="126">
        <v>2753.54</v>
      </c>
      <c r="C28" s="515">
        <v>2.2624865894419525E-3</v>
      </c>
      <c r="D28" s="382">
        <f>'Total Inst. Cost'!G26</f>
        <v>17790424.619491991</v>
      </c>
      <c r="E28" s="383">
        <f>Facilities!J36</f>
        <v>4134815.9905249733</v>
      </c>
      <c r="F28" s="384">
        <f>'District Services'!K35</f>
        <v>1240091.2506236869</v>
      </c>
      <c r="G28" s="405">
        <f t="shared" si="1"/>
        <v>23165331.860640652</v>
      </c>
      <c r="H28" s="132"/>
      <c r="I28" s="382">
        <f>'FY 19 State Pmt'!BL27</f>
        <v>14242918.110000003</v>
      </c>
      <c r="J28" s="383">
        <f>'Prop Tax'!K26</f>
        <v>2774290.617085218</v>
      </c>
      <c r="K28" s="539">
        <f t="shared" si="2"/>
        <v>17017208.727085222</v>
      </c>
      <c r="L28" s="421"/>
      <c r="M28" s="382">
        <f t="shared" si="12"/>
        <v>8260620</v>
      </c>
      <c r="N28" s="392">
        <f t="shared" si="3"/>
        <v>14904711.860640652</v>
      </c>
      <c r="O28" s="392">
        <f t="shared" si="4"/>
        <v>3731244.5206543696</v>
      </c>
      <c r="P28" s="181">
        <f t="shared" si="5"/>
        <v>11173467.339986283</v>
      </c>
      <c r="Q28" s="421"/>
      <c r="R28" s="392">
        <f t="shared" si="6"/>
        <v>19434087.339986283</v>
      </c>
      <c r="S28" s="373">
        <f t="shared" si="7"/>
        <v>2416878.6129010618</v>
      </c>
      <c r="T28" s="132">
        <f t="shared" si="0"/>
        <v>0.83892980497318115</v>
      </c>
      <c r="U28" s="181">
        <f t="shared" si="13"/>
        <v>3731244.5206543691</v>
      </c>
      <c r="V28" s="134">
        <f>U28/ITA!B26*1000</f>
        <v>100.72730337270923</v>
      </c>
      <c r="W28" s="132"/>
      <c r="X28" s="392">
        <f t="shared" si="8"/>
        <v>0</v>
      </c>
      <c r="Y28" s="373">
        <f t="shared" si="14"/>
        <v>19434087.339986283</v>
      </c>
      <c r="Z28" s="373">
        <f t="shared" si="9"/>
        <v>2416878.6129010618</v>
      </c>
      <c r="AA28" s="132">
        <f t="shared" si="10"/>
        <v>0.83892980497318115</v>
      </c>
      <c r="AB28" s="181">
        <f t="shared" si="11"/>
        <v>3731244.5206543691</v>
      </c>
      <c r="AC28" s="134">
        <f>AB28/ITA!B26*1000</f>
        <v>100.72730337270923</v>
      </c>
    </row>
    <row r="29" spans="1:29" x14ac:dyDescent="0.25">
      <c r="A29" s="123" t="s">
        <v>26</v>
      </c>
      <c r="B29" s="47">
        <v>1253.3399999999999</v>
      </c>
      <c r="C29" s="516">
        <v>3.7378938030003861E-4</v>
      </c>
      <c r="D29" s="379">
        <f>'Total Inst. Cost'!G27</f>
        <v>7431779.581042923</v>
      </c>
      <c r="E29" s="380">
        <f>Facilities!J37</f>
        <v>1755086.0454271527</v>
      </c>
      <c r="F29" s="381">
        <f>'District Services'!K36</f>
        <v>1164888.1855043925</v>
      </c>
      <c r="G29" s="406">
        <f t="shared" si="1"/>
        <v>10351753.811974468</v>
      </c>
      <c r="H29" s="79"/>
      <c r="I29" s="379">
        <f>'FY 19 State Pmt'!BL28</f>
        <v>6892444.8499999987</v>
      </c>
      <c r="J29" s="380">
        <f>'Prop Tax'!K27</f>
        <v>1081219.0327931792</v>
      </c>
      <c r="K29" s="540">
        <f t="shared" si="2"/>
        <v>7973663.8827931779</v>
      </c>
      <c r="L29" s="422"/>
      <c r="M29" s="379">
        <f t="shared" si="12"/>
        <v>3760019.9999999995</v>
      </c>
      <c r="N29" s="393">
        <f t="shared" si="3"/>
        <v>6591733.8119744677</v>
      </c>
      <c r="O29" s="393">
        <f t="shared" si="4"/>
        <v>616445.45591199165</v>
      </c>
      <c r="P29" s="180">
        <f t="shared" si="5"/>
        <v>5975288.3560624756</v>
      </c>
      <c r="Q29" s="422"/>
      <c r="R29" s="393">
        <f t="shared" si="6"/>
        <v>9735308.3560624756</v>
      </c>
      <c r="S29" s="374">
        <f t="shared" si="7"/>
        <v>1761644.4732692977</v>
      </c>
      <c r="T29" s="79">
        <f t="shared" si="0"/>
        <v>0.94045014331784882</v>
      </c>
      <c r="U29" s="180">
        <f t="shared" si="13"/>
        <v>616445.45591199212</v>
      </c>
      <c r="V29" s="124">
        <f>U29/ITA!B27*1000</f>
        <v>100.72730337270931</v>
      </c>
      <c r="W29" s="79"/>
      <c r="X29" s="393">
        <f t="shared" si="8"/>
        <v>0</v>
      </c>
      <c r="Y29" s="374">
        <f t="shared" si="14"/>
        <v>9735308.3560624756</v>
      </c>
      <c r="Z29" s="374">
        <f t="shared" si="9"/>
        <v>1761644.4732692977</v>
      </c>
      <c r="AA29" s="79">
        <f t="shared" si="10"/>
        <v>0.94045014331784882</v>
      </c>
      <c r="AB29" s="180">
        <f t="shared" si="11"/>
        <v>616445.45591199212</v>
      </c>
      <c r="AC29" s="124">
        <f>AB29/ITA!B27*1000</f>
        <v>100.72730337270931</v>
      </c>
    </row>
    <row r="30" spans="1:29" x14ac:dyDescent="0.25">
      <c r="A30" s="125" t="s">
        <v>27</v>
      </c>
      <c r="B30" s="126">
        <v>5263.6</v>
      </c>
      <c r="C30" s="515">
        <v>8.4444632812399421E-3</v>
      </c>
      <c r="D30" s="382">
        <f>'Total Inst. Cost'!G28</f>
        <v>33538710.132798426</v>
      </c>
      <c r="E30" s="383">
        <f>Facilities!J38</f>
        <v>7750431.9271119833</v>
      </c>
      <c r="F30" s="384">
        <f>'District Services'!K37</f>
        <v>1350300.2392805484</v>
      </c>
      <c r="G30" s="405">
        <f t="shared" si="1"/>
        <v>42639442.299190961</v>
      </c>
      <c r="H30" s="132"/>
      <c r="I30" s="382">
        <f>'FY 19 State Pmt'!BL29</f>
        <v>23191159.999999996</v>
      </c>
      <c r="J30" s="383">
        <f>'Prop Tax'!K28</f>
        <v>6164871.4210511865</v>
      </c>
      <c r="K30" s="539">
        <f t="shared" si="2"/>
        <v>29356031.421051182</v>
      </c>
      <c r="L30" s="421"/>
      <c r="M30" s="382">
        <f t="shared" si="12"/>
        <v>15790800.000000002</v>
      </c>
      <c r="N30" s="392">
        <f t="shared" si="3"/>
        <v>26848642.299190961</v>
      </c>
      <c r="O30" s="392">
        <f t="shared" si="4"/>
        <v>13926428.335544372</v>
      </c>
      <c r="P30" s="181">
        <f t="shared" si="5"/>
        <v>12922213.963646589</v>
      </c>
      <c r="Q30" s="421"/>
      <c r="R30" s="392">
        <f t="shared" si="6"/>
        <v>28713013.963646591</v>
      </c>
      <c r="S30" s="373">
        <f t="shared" si="7"/>
        <v>-643017.45740459114</v>
      </c>
      <c r="T30" s="132">
        <f t="shared" si="0"/>
        <v>0.67339093607683964</v>
      </c>
      <c r="U30" s="181">
        <f t="shared" si="13"/>
        <v>13926428.33554437</v>
      </c>
      <c r="V30" s="134">
        <f>U30/ITA!B28*1000</f>
        <v>100.72730337270923</v>
      </c>
      <c r="W30" s="132"/>
      <c r="X30" s="392">
        <f t="shared" si="8"/>
        <v>643017.45740459114</v>
      </c>
      <c r="Y30" s="373">
        <f t="shared" si="14"/>
        <v>29356031.421051182</v>
      </c>
      <c r="Z30" s="373">
        <f t="shared" si="9"/>
        <v>0</v>
      </c>
      <c r="AA30" s="132">
        <f t="shared" si="10"/>
        <v>0.68847128006662939</v>
      </c>
      <c r="AB30" s="181">
        <f t="shared" si="11"/>
        <v>13283410.878139779</v>
      </c>
      <c r="AC30" s="134">
        <f>AB30/ITA!B28*1000</f>
        <v>96.076475971355379</v>
      </c>
    </row>
    <row r="31" spans="1:29" x14ac:dyDescent="0.25">
      <c r="A31" s="123" t="s">
        <v>28</v>
      </c>
      <c r="B31" s="47">
        <v>9606.7099999999991</v>
      </c>
      <c r="C31" s="516">
        <v>1.165546486020297E-2</v>
      </c>
      <c r="D31" s="379">
        <f>'Total Inst. Cost'!G29</f>
        <v>58793603.760916986</v>
      </c>
      <c r="E31" s="380">
        <f>Facilities!J39</f>
        <v>13804726.498666165</v>
      </c>
      <c r="F31" s="381">
        <f>'District Services'!K38</f>
        <v>2588282.2874667956</v>
      </c>
      <c r="G31" s="404">
        <f t="shared" si="1"/>
        <v>75186612.54704994</v>
      </c>
      <c r="H31" s="79"/>
      <c r="I31" s="379">
        <f>'FY 19 State Pmt'!BL30</f>
        <v>44339857.70000001</v>
      </c>
      <c r="J31" s="380">
        <f>'Prop Tax'!K29</f>
        <v>13441311.993382974</v>
      </c>
      <c r="K31" s="540">
        <f t="shared" si="2"/>
        <v>57781169.693382986</v>
      </c>
      <c r="L31" s="422"/>
      <c r="M31" s="379">
        <f t="shared" si="12"/>
        <v>28820129.999999996</v>
      </c>
      <c r="N31" s="393">
        <f t="shared" si="3"/>
        <v>46366482.54704994</v>
      </c>
      <c r="O31" s="393">
        <f t="shared" si="4"/>
        <v>19221943.501569502</v>
      </c>
      <c r="P31" s="180">
        <f t="shared" si="5"/>
        <v>27144539.045480438</v>
      </c>
      <c r="Q31" s="422"/>
      <c r="R31" s="393">
        <f t="shared" si="6"/>
        <v>55964669.04548043</v>
      </c>
      <c r="S31" s="374">
        <f t="shared" si="7"/>
        <v>-1816500.6479025558</v>
      </c>
      <c r="T31" s="79">
        <f t="shared" si="0"/>
        <v>0.74434353603121983</v>
      </c>
      <c r="U31" s="180">
        <f t="shared" si="13"/>
        <v>19221943.50156951</v>
      </c>
      <c r="V31" s="124">
        <f>U31/ITA!B29*1000</f>
        <v>100.72730337270929</v>
      </c>
      <c r="W31" s="79"/>
      <c r="X31" s="393">
        <f t="shared" si="8"/>
        <v>1816500.6479025558</v>
      </c>
      <c r="Y31" s="374">
        <f t="shared" si="14"/>
        <v>57781169.693382986</v>
      </c>
      <c r="Z31" s="374">
        <f t="shared" si="9"/>
        <v>0</v>
      </c>
      <c r="AA31" s="79">
        <f t="shared" si="10"/>
        <v>0.7685034308099058</v>
      </c>
      <c r="AB31" s="180">
        <f t="shared" si="11"/>
        <v>17405442.853666954</v>
      </c>
      <c r="AC31" s="124">
        <f>AB31/ITA!B29*1000</f>
        <v>91.20843178602172</v>
      </c>
    </row>
    <row r="32" spans="1:29" x14ac:dyDescent="0.25">
      <c r="A32" s="125" t="s">
        <v>29</v>
      </c>
      <c r="B32" s="126">
        <v>1528.03</v>
      </c>
      <c r="C32" s="515">
        <v>8.427903221858861E-4</v>
      </c>
      <c r="D32" s="382">
        <f>'Total Inst. Cost'!G30</f>
        <v>9145971.510493394</v>
      </c>
      <c r="E32" s="383">
        <f>Facilities!J40</f>
        <v>2147010.047337078</v>
      </c>
      <c r="F32" s="384">
        <f>'District Services'!K39</f>
        <v>1176788.841172002</v>
      </c>
      <c r="G32" s="405">
        <f t="shared" si="1"/>
        <v>12469770.399002474</v>
      </c>
      <c r="H32" s="132"/>
      <c r="I32" s="382">
        <f>'FY 19 State Pmt'!BL31</f>
        <v>8163949.9400000004</v>
      </c>
      <c r="J32" s="383">
        <f>'Prop Tax'!K30</f>
        <v>1235766.9125217153</v>
      </c>
      <c r="K32" s="539">
        <f t="shared" si="2"/>
        <v>9399716.8525217157</v>
      </c>
      <c r="L32" s="421"/>
      <c r="M32" s="382">
        <f t="shared" si="12"/>
        <v>4584090</v>
      </c>
      <c r="N32" s="392">
        <f t="shared" si="3"/>
        <v>7885680.3990024738</v>
      </c>
      <c r="O32" s="392">
        <f t="shared" si="4"/>
        <v>1389911.7839599019</v>
      </c>
      <c r="P32" s="181">
        <f t="shared" si="5"/>
        <v>6495768.6150425719</v>
      </c>
      <c r="Q32" s="421"/>
      <c r="R32" s="392">
        <f t="shared" si="6"/>
        <v>11079858.615042571</v>
      </c>
      <c r="S32" s="373">
        <f t="shared" si="7"/>
        <v>1680141.7625208553</v>
      </c>
      <c r="T32" s="132">
        <f t="shared" si="0"/>
        <v>0.88853749993094588</v>
      </c>
      <c r="U32" s="181">
        <f t="shared" si="13"/>
        <v>1389911.7839599028</v>
      </c>
      <c r="V32" s="134">
        <f>U32/ITA!B30*1000</f>
        <v>100.7273033727093</v>
      </c>
      <c r="W32" s="132"/>
      <c r="X32" s="392">
        <f t="shared" si="8"/>
        <v>0</v>
      </c>
      <c r="Y32" s="373">
        <f t="shared" si="14"/>
        <v>11079858.615042571</v>
      </c>
      <c r="Z32" s="373">
        <f t="shared" si="9"/>
        <v>1680141.7625208553</v>
      </c>
      <c r="AA32" s="132">
        <f t="shared" si="10"/>
        <v>0.88853749993094588</v>
      </c>
      <c r="AB32" s="181">
        <f t="shared" si="11"/>
        <v>1389911.7839599028</v>
      </c>
      <c r="AC32" s="134">
        <f>AB32/ITA!B30*1000</f>
        <v>100.7273033727093</v>
      </c>
    </row>
    <row r="33" spans="1:29" x14ac:dyDescent="0.25">
      <c r="A33" s="123" t="s">
        <v>30</v>
      </c>
      <c r="B33" s="47">
        <v>3982.19</v>
      </c>
      <c r="C33" s="516">
        <v>2.530398853578311E-3</v>
      </c>
      <c r="D33" s="379">
        <f>'Total Inst. Cost'!G31</f>
        <v>23718473.483735744</v>
      </c>
      <c r="E33" s="380">
        <f>Facilities!J41</f>
        <v>5629448.5251050377</v>
      </c>
      <c r="F33" s="381">
        <f>'District Services'!K40</f>
        <v>1282296.7979726929</v>
      </c>
      <c r="G33" s="406">
        <f t="shared" si="1"/>
        <v>30630218.806813475</v>
      </c>
      <c r="H33" s="79"/>
      <c r="I33" s="379">
        <f>'FY 19 State Pmt'!BL32</f>
        <v>19960960.789999995</v>
      </c>
      <c r="J33" s="380">
        <f>'Prop Tax'!K31</f>
        <v>3791746.6808839766</v>
      </c>
      <c r="K33" s="540">
        <f t="shared" si="2"/>
        <v>23752707.470883973</v>
      </c>
      <c r="L33" s="422"/>
      <c r="M33" s="379">
        <f t="shared" si="12"/>
        <v>11946570</v>
      </c>
      <c r="N33" s="393">
        <f t="shared" si="3"/>
        <v>18683648.806813475</v>
      </c>
      <c r="O33" s="393">
        <f t="shared" si="4"/>
        <v>4173079.6998062865</v>
      </c>
      <c r="P33" s="180">
        <f t="shared" si="5"/>
        <v>14510569.107007189</v>
      </c>
      <c r="Q33" s="422"/>
      <c r="R33" s="393">
        <f t="shared" si="6"/>
        <v>26457139.107007191</v>
      </c>
      <c r="S33" s="374">
        <f t="shared" si="7"/>
        <v>2704431.6361232176</v>
      </c>
      <c r="T33" s="79">
        <f t="shared" si="0"/>
        <v>0.86375938983243528</v>
      </c>
      <c r="U33" s="180">
        <f t="shared" si="13"/>
        <v>4173079.6998062842</v>
      </c>
      <c r="V33" s="124">
        <f>U33/ITA!B31*1000</f>
        <v>100.72730337270919</v>
      </c>
      <c r="W33" s="79"/>
      <c r="X33" s="393">
        <f t="shared" si="8"/>
        <v>0</v>
      </c>
      <c r="Y33" s="374">
        <f t="shared" si="14"/>
        <v>26457139.107007191</v>
      </c>
      <c r="Z33" s="374">
        <f t="shared" si="9"/>
        <v>2704431.6361232176</v>
      </c>
      <c r="AA33" s="79">
        <f t="shared" si="10"/>
        <v>0.86375938983243528</v>
      </c>
      <c r="AB33" s="180">
        <f t="shared" si="11"/>
        <v>4173079.6998062842</v>
      </c>
      <c r="AC33" s="124">
        <f>AB33/ITA!B31*1000</f>
        <v>100.72730337270919</v>
      </c>
    </row>
    <row r="34" spans="1:29" x14ac:dyDescent="0.25">
      <c r="A34" s="125" t="s">
        <v>31</v>
      </c>
      <c r="B34" s="126">
        <v>25440.37</v>
      </c>
      <c r="C34" s="515">
        <v>1.6617471145703472E-2</v>
      </c>
      <c r="D34" s="382">
        <f>'Total Inst. Cost'!G32</f>
        <v>145638287.39121538</v>
      </c>
      <c r="E34" s="383">
        <f>Facilities!J42</f>
        <v>34412490.034997895</v>
      </c>
      <c r="F34" s="384">
        <f>'District Services'!K41</f>
        <v>4245528.1982150944</v>
      </c>
      <c r="G34" s="405">
        <f t="shared" si="1"/>
        <v>184296305.62442836</v>
      </c>
      <c r="H34" s="132"/>
      <c r="I34" s="382">
        <f>'FY 19 State Pmt'!BL33</f>
        <v>117212002.76000001</v>
      </c>
      <c r="J34" s="383">
        <f>'Prop Tax'!K32</f>
        <v>36629400.907962725</v>
      </c>
      <c r="K34" s="539">
        <f t="shared" si="2"/>
        <v>153841403.66796273</v>
      </c>
      <c r="L34" s="421"/>
      <c r="M34" s="382">
        <f t="shared" si="12"/>
        <v>76321110</v>
      </c>
      <c r="N34" s="392">
        <f t="shared" si="3"/>
        <v>107975195.62442836</v>
      </c>
      <c r="O34" s="392">
        <f t="shared" si="4"/>
        <v>27405178.200340874</v>
      </c>
      <c r="P34" s="181">
        <f t="shared" si="5"/>
        <v>80570017.424087495</v>
      </c>
      <c r="Q34" s="421"/>
      <c r="R34" s="392">
        <f t="shared" si="6"/>
        <v>156891127.42408749</v>
      </c>
      <c r="S34" s="373">
        <f t="shared" si="7"/>
        <v>3049723.7561247647</v>
      </c>
      <c r="T34" s="132">
        <f t="shared" si="0"/>
        <v>0.85129827693785132</v>
      </c>
      <c r="U34" s="181">
        <f t="shared" si="13"/>
        <v>27405178.200340867</v>
      </c>
      <c r="V34" s="134">
        <f>U34/ITA!B32*1000</f>
        <v>100.72730337270922</v>
      </c>
      <c r="W34" s="132"/>
      <c r="X34" s="392">
        <f t="shared" si="8"/>
        <v>0</v>
      </c>
      <c r="Y34" s="373">
        <f t="shared" si="14"/>
        <v>156891127.42408749</v>
      </c>
      <c r="Z34" s="373">
        <f t="shared" si="9"/>
        <v>3049723.7561247647</v>
      </c>
      <c r="AA34" s="132">
        <f t="shared" si="10"/>
        <v>0.85129827693785132</v>
      </c>
      <c r="AB34" s="181">
        <f t="shared" si="11"/>
        <v>27405178.200340867</v>
      </c>
      <c r="AC34" s="134">
        <f>AB34/ITA!B32*1000</f>
        <v>100.72730337270922</v>
      </c>
    </row>
    <row r="35" spans="1:29" x14ac:dyDescent="0.25">
      <c r="A35" s="123" t="s">
        <v>32</v>
      </c>
      <c r="B35" s="47">
        <v>2145.29</v>
      </c>
      <c r="C35" s="516">
        <v>3.0939804900830281E-3</v>
      </c>
      <c r="D35" s="379">
        <f>'Total Inst. Cost'!G33</f>
        <v>13609514.380308764</v>
      </c>
      <c r="E35" s="380">
        <f>Facilities!J43</f>
        <v>3172807.4822966708</v>
      </c>
      <c r="F35" s="381">
        <f>'District Services'!K42</f>
        <v>1209721.7870783105</v>
      </c>
      <c r="G35" s="404">
        <f t="shared" si="1"/>
        <v>17992043.649683744</v>
      </c>
      <c r="H35" s="79"/>
      <c r="I35" s="379">
        <f>'FY 19 State Pmt'!BL34</f>
        <v>9958914.410000002</v>
      </c>
      <c r="J35" s="380">
        <f>'Prop Tax'!K33</f>
        <v>4627985.1562803006</v>
      </c>
      <c r="K35" s="540">
        <f t="shared" si="2"/>
        <v>14586899.566280302</v>
      </c>
      <c r="L35" s="422"/>
      <c r="M35" s="379">
        <f t="shared" si="12"/>
        <v>6435870</v>
      </c>
      <c r="N35" s="393">
        <f t="shared" si="3"/>
        <v>11556173.649683744</v>
      </c>
      <c r="O35" s="393">
        <f t="shared" si="4"/>
        <v>5102526.4876735788</v>
      </c>
      <c r="P35" s="180">
        <f t="shared" si="5"/>
        <v>6453647.1620101649</v>
      </c>
      <c r="Q35" s="422"/>
      <c r="R35" s="393">
        <f t="shared" si="6"/>
        <v>12889517.162010165</v>
      </c>
      <c r="S35" s="374">
        <f t="shared" si="7"/>
        <v>-1697382.4042701367</v>
      </c>
      <c r="T35" s="79">
        <f t="shared" si="0"/>
        <v>0.71640094994082182</v>
      </c>
      <c r="U35" s="180">
        <f t="shared" si="13"/>
        <v>5102526.4876735788</v>
      </c>
      <c r="V35" s="124">
        <f>U35/ITA!B33*1000</f>
        <v>100.72730337270924</v>
      </c>
      <c r="W35" s="79"/>
      <c r="X35" s="393">
        <f t="shared" si="8"/>
        <v>1697382.4042701367</v>
      </c>
      <c r="Y35" s="374">
        <f t="shared" si="14"/>
        <v>14586899.566280302</v>
      </c>
      <c r="Z35" s="374">
        <f t="shared" si="9"/>
        <v>0</v>
      </c>
      <c r="AA35" s="79">
        <f t="shared" si="10"/>
        <v>0.81074167283585397</v>
      </c>
      <c r="AB35" s="180">
        <f t="shared" si="11"/>
        <v>3405144.0834034421</v>
      </c>
      <c r="AC35" s="124">
        <f>AB35/ITA!B33*1000</f>
        <v>67.219833536453834</v>
      </c>
    </row>
    <row r="36" spans="1:29" x14ac:dyDescent="0.25">
      <c r="A36" s="125" t="s">
        <v>33</v>
      </c>
      <c r="B36" s="126">
        <v>3224.83</v>
      </c>
      <c r="C36" s="515">
        <v>3.0574571466720265E-3</v>
      </c>
      <c r="D36" s="382">
        <f>'Total Inst. Cost'!G34</f>
        <v>19085569.61418277</v>
      </c>
      <c r="E36" s="383">
        <f>Facilities!J44</f>
        <v>4478473.3312766002</v>
      </c>
      <c r="F36" s="384">
        <f>'District Services'!K43</f>
        <v>1246481.9607540763</v>
      </c>
      <c r="G36" s="405">
        <f t="shared" si="1"/>
        <v>24810524.906213447</v>
      </c>
      <c r="H36" s="132"/>
      <c r="I36" s="382">
        <f>'FY 19 State Pmt'!BL35</f>
        <v>15323261.660000004</v>
      </c>
      <c r="J36" s="383">
        <f>'Prop Tax'!K34</f>
        <v>5884286.4031790094</v>
      </c>
      <c r="K36" s="539">
        <f t="shared" si="2"/>
        <v>21207548.063179012</v>
      </c>
      <c r="L36" s="421"/>
      <c r="M36" s="382">
        <f t="shared" si="12"/>
        <v>9674490</v>
      </c>
      <c r="N36" s="392">
        <f t="shared" si="3"/>
        <v>15136034.906213447</v>
      </c>
      <c r="O36" s="392">
        <f t="shared" si="4"/>
        <v>5042292.970438946</v>
      </c>
      <c r="P36" s="181">
        <f t="shared" si="5"/>
        <v>10093741.935774501</v>
      </c>
      <c r="Q36" s="421"/>
      <c r="R36" s="392">
        <f t="shared" si="6"/>
        <v>19768231.935774501</v>
      </c>
      <c r="S36" s="373">
        <f t="shared" si="7"/>
        <v>-1439316.127404511</v>
      </c>
      <c r="T36" s="132">
        <f t="shared" si="0"/>
        <v>0.79676798497817458</v>
      </c>
      <c r="U36" s="181">
        <f t="shared" si="13"/>
        <v>5042292.970438946</v>
      </c>
      <c r="V36" s="134">
        <f>U36/ITA!B34*1000</f>
        <v>100.72730337270924</v>
      </c>
      <c r="W36" s="132"/>
      <c r="X36" s="392">
        <f t="shared" si="8"/>
        <v>1439316.127404511</v>
      </c>
      <c r="Y36" s="373">
        <f t="shared" si="14"/>
        <v>21207548.063179012</v>
      </c>
      <c r="Z36" s="373">
        <f t="shared" si="9"/>
        <v>0</v>
      </c>
      <c r="AA36" s="132">
        <f t="shared" si="10"/>
        <v>0.85478030567051322</v>
      </c>
      <c r="AB36" s="181">
        <f t="shared" si="11"/>
        <v>3602976.8430344351</v>
      </c>
      <c r="AC36" s="134">
        <f>AB36/ITA!B34*1000</f>
        <v>71.974822494612539</v>
      </c>
    </row>
    <row r="37" spans="1:29" x14ac:dyDescent="0.25">
      <c r="A37" s="123" t="s">
        <v>34</v>
      </c>
      <c r="B37" s="47">
        <v>2373.3200000000002</v>
      </c>
      <c r="C37" s="516">
        <v>7.4956189631598833E-3</v>
      </c>
      <c r="D37" s="379">
        <f>'Total Inst. Cost'!G35</f>
        <v>15116588.429283798</v>
      </c>
      <c r="E37" s="380">
        <f>Facilities!J45</f>
        <v>3509966.456015307</v>
      </c>
      <c r="F37" s="381">
        <f>'District Services'!K44</f>
        <v>1220104.7832732918</v>
      </c>
      <c r="G37" s="406">
        <f t="shared" si="1"/>
        <v>19846659.668572396</v>
      </c>
      <c r="H37" s="79"/>
      <c r="I37" s="379">
        <f>'FY 19 State Pmt'!BL36</f>
        <v>8286479.2600000016</v>
      </c>
      <c r="J37" s="380">
        <f>'Prop Tax'!K35</f>
        <v>5274004.4155953424</v>
      </c>
      <c r="K37" s="540">
        <f t="shared" si="2"/>
        <v>13560483.675595343</v>
      </c>
      <c r="L37" s="422"/>
      <c r="M37" s="379">
        <f t="shared" si="12"/>
        <v>7119960.0000000009</v>
      </c>
      <c r="N37" s="393">
        <f t="shared" si="3"/>
        <v>12726699.668572396</v>
      </c>
      <c r="O37" s="393">
        <f t="shared" si="4"/>
        <v>12361614.568553828</v>
      </c>
      <c r="P37" s="180">
        <f t="shared" si="5"/>
        <v>365085.10001856834</v>
      </c>
      <c r="Q37" s="422"/>
      <c r="R37" s="393">
        <f t="shared" si="6"/>
        <v>7485045.1000185693</v>
      </c>
      <c r="S37" s="374">
        <f t="shared" si="7"/>
        <v>-6075438.5755767738</v>
      </c>
      <c r="T37" s="79">
        <f t="shared" si="0"/>
        <v>0.3771438229412124</v>
      </c>
      <c r="U37" s="180">
        <f t="shared" si="13"/>
        <v>12361614.568553828</v>
      </c>
      <c r="V37" s="124">
        <f>U37/ITA!B35*1000</f>
        <v>100.72730337270923</v>
      </c>
      <c r="W37" s="79"/>
      <c r="X37" s="393">
        <f t="shared" si="8"/>
        <v>6075438.5755767738</v>
      </c>
      <c r="Y37" s="374">
        <f t="shared" si="14"/>
        <v>13560483.675595343</v>
      </c>
      <c r="Z37" s="374">
        <f t="shared" si="9"/>
        <v>0</v>
      </c>
      <c r="AA37" s="79">
        <f t="shared" si="10"/>
        <v>0.68326277076583597</v>
      </c>
      <c r="AB37" s="180">
        <f t="shared" si="11"/>
        <v>6286175.9929770529</v>
      </c>
      <c r="AC37" s="124">
        <f>AB37/ITA!B35*1000</f>
        <v>51.22223741788428</v>
      </c>
    </row>
    <row r="38" spans="1:29" x14ac:dyDescent="0.25">
      <c r="A38" s="125" t="s">
        <v>35</v>
      </c>
      <c r="B38" s="126">
        <v>15667.43</v>
      </c>
      <c r="C38" s="515">
        <v>1.7605354884714434E-2</v>
      </c>
      <c r="D38" s="382">
        <f>'Total Inst. Cost'!G36</f>
        <v>95241841.180101097</v>
      </c>
      <c r="E38" s="383">
        <f>Facilities!J46</f>
        <v>22313111.417470753</v>
      </c>
      <c r="F38" s="384">
        <f>'District Services'!K45</f>
        <v>3900824.2210878227</v>
      </c>
      <c r="G38" s="405">
        <f t="shared" si="1"/>
        <v>121455776.81865968</v>
      </c>
      <c r="H38" s="132"/>
      <c r="I38" s="382">
        <f>'FY 19 State Pmt'!BL37</f>
        <v>71554098.519999996</v>
      </c>
      <c r="J38" s="383">
        <f>'Prop Tax'!K36</f>
        <v>24650523.897592634</v>
      </c>
      <c r="K38" s="539">
        <f t="shared" si="2"/>
        <v>96204622.41759263</v>
      </c>
      <c r="L38" s="421"/>
      <c r="M38" s="382">
        <f t="shared" si="12"/>
        <v>47002290</v>
      </c>
      <c r="N38" s="392">
        <f t="shared" si="3"/>
        <v>74453486.818659678</v>
      </c>
      <c r="O38" s="392">
        <f t="shared" si="4"/>
        <v>29034374.94582849</v>
      </c>
      <c r="P38" s="181">
        <f t="shared" si="5"/>
        <v>45419111.872831188</v>
      </c>
      <c r="Q38" s="421"/>
      <c r="R38" s="392">
        <f t="shared" si="6"/>
        <v>92421401.872831196</v>
      </c>
      <c r="S38" s="373">
        <f t="shared" si="7"/>
        <v>-3783220.5447614342</v>
      </c>
      <c r="T38" s="132">
        <f t="shared" si="0"/>
        <v>0.76094694129552654</v>
      </c>
      <c r="U38" s="181">
        <f t="shared" si="13"/>
        <v>29034374.945828483</v>
      </c>
      <c r="V38" s="134">
        <f>U38/ITA!B36*1000</f>
        <v>100.72730337270922</v>
      </c>
      <c r="W38" s="132"/>
      <c r="X38" s="392">
        <f t="shared" si="8"/>
        <v>3783220.5447614342</v>
      </c>
      <c r="Y38" s="373">
        <f t="shared" si="14"/>
        <v>96204622.41759263</v>
      </c>
      <c r="Z38" s="373">
        <f t="shared" si="9"/>
        <v>0</v>
      </c>
      <c r="AA38" s="132">
        <f t="shared" si="10"/>
        <v>0.79209589644493861</v>
      </c>
      <c r="AB38" s="181">
        <f t="shared" si="11"/>
        <v>25251154.401067048</v>
      </c>
      <c r="AC38" s="134">
        <f>AB38/ITA!B36*1000</f>
        <v>87.602391806710386</v>
      </c>
    </row>
    <row r="39" spans="1:29" x14ac:dyDescent="0.25">
      <c r="A39" s="123" t="s">
        <v>36</v>
      </c>
      <c r="B39" s="47">
        <v>1091.3900000000001</v>
      </c>
      <c r="C39" s="516">
        <v>6.1616677105047447E-4</v>
      </c>
      <c r="D39" s="379">
        <f>'Total Inst. Cost'!G37</f>
        <v>6901363.2523968043</v>
      </c>
      <c r="E39" s="380">
        <f>Facilities!J47</f>
        <v>1586335.4984243049</v>
      </c>
      <c r="F39" s="381">
        <f>'District Services'!K46</f>
        <v>1160530.7137354382</v>
      </c>
      <c r="G39" s="404">
        <f t="shared" si="1"/>
        <v>9648229.4645565487</v>
      </c>
      <c r="H39" s="79"/>
      <c r="I39" s="379">
        <f>'FY 19 State Pmt'!BL38</f>
        <v>6152286.5500000007</v>
      </c>
      <c r="J39" s="380">
        <f>'Prop Tax'!K37</f>
        <v>1236738.5013549556</v>
      </c>
      <c r="K39" s="540">
        <f t="shared" si="2"/>
        <v>7389025.0513549559</v>
      </c>
      <c r="L39" s="422"/>
      <c r="M39" s="379">
        <f t="shared" ref="M39:M70" si="15">$M$6*B39</f>
        <v>3274170.0000000005</v>
      </c>
      <c r="N39" s="393">
        <f t="shared" ref="N39:N70" si="16">G39-M39</f>
        <v>6374059.4645565487</v>
      </c>
      <c r="O39" s="393">
        <f t="shared" si="4"/>
        <v>1016169.0677063633</v>
      </c>
      <c r="P39" s="180">
        <f t="shared" si="5"/>
        <v>5357890.3968501855</v>
      </c>
      <c r="Q39" s="422"/>
      <c r="R39" s="393">
        <f t="shared" ref="R39:R70" si="17">P39+M39</f>
        <v>8632060.3968501855</v>
      </c>
      <c r="S39" s="374">
        <f t="shared" ref="S39:S70" si="18">R39-K39</f>
        <v>1243035.3454952296</v>
      </c>
      <c r="T39" s="79">
        <f t="shared" ref="T39:T70" si="19">R39/G39</f>
        <v>0.89467818199812388</v>
      </c>
      <c r="U39" s="180">
        <f t="shared" ref="U39:U70" si="20">G39-R39</f>
        <v>1016169.0677063633</v>
      </c>
      <c r="V39" s="124">
        <f>U39/ITA!B37*1000</f>
        <v>100.72730337270923</v>
      </c>
      <c r="W39" s="79"/>
      <c r="X39" s="393">
        <f t="shared" si="8"/>
        <v>0</v>
      </c>
      <c r="Y39" s="374">
        <f t="shared" si="14"/>
        <v>8632060.3968501855</v>
      </c>
      <c r="Z39" s="374">
        <f t="shared" si="9"/>
        <v>1243035.3454952296</v>
      </c>
      <c r="AA39" s="79">
        <f t="shared" si="10"/>
        <v>0.89467818199812388</v>
      </c>
      <c r="AB39" s="180">
        <f t="shared" si="11"/>
        <v>1016169.0677063633</v>
      </c>
      <c r="AC39" s="124">
        <f>AB39/ITA!B37*1000</f>
        <v>100.72730337270923</v>
      </c>
    </row>
    <row r="40" spans="1:29" x14ac:dyDescent="0.25">
      <c r="A40" s="125" t="s">
        <v>37</v>
      </c>
      <c r="B40" s="126">
        <v>3269.06</v>
      </c>
      <c r="C40" s="515">
        <v>2.5489814251816044E-3</v>
      </c>
      <c r="D40" s="382">
        <f>'Total Inst. Cost'!G38</f>
        <v>21487426.541385647</v>
      </c>
      <c r="E40" s="383">
        <f>Facilities!J48</f>
        <v>4940404.497127967</v>
      </c>
      <c r="F40" s="384">
        <f>'District Services'!K47</f>
        <v>1265414.4321673247</v>
      </c>
      <c r="G40" s="405">
        <f t="shared" si="1"/>
        <v>27693245.470680941</v>
      </c>
      <c r="H40" s="132"/>
      <c r="I40" s="382">
        <f>'FY 19 State Pmt'!BL39</f>
        <v>17287554.440000001</v>
      </c>
      <c r="J40" s="383">
        <f>'Prop Tax'!K38</f>
        <v>4641495.6863175193</v>
      </c>
      <c r="K40" s="539">
        <f t="shared" si="2"/>
        <v>21929050.12631752</v>
      </c>
      <c r="L40" s="421"/>
      <c r="M40" s="382">
        <f t="shared" si="15"/>
        <v>9807180</v>
      </c>
      <c r="N40" s="392">
        <f t="shared" si="16"/>
        <v>17886065.470680941</v>
      </c>
      <c r="O40" s="392">
        <f t="shared" si="4"/>
        <v>4203725.6796755232</v>
      </c>
      <c r="P40" s="181">
        <f t="shared" si="5"/>
        <v>13682339.791005418</v>
      </c>
      <c r="Q40" s="421"/>
      <c r="R40" s="392">
        <f t="shared" si="17"/>
        <v>23489519.791005418</v>
      </c>
      <c r="S40" s="373">
        <f t="shared" si="18"/>
        <v>1560469.664687898</v>
      </c>
      <c r="T40" s="132">
        <f t="shared" si="19"/>
        <v>0.84820393535578775</v>
      </c>
      <c r="U40" s="181">
        <f t="shared" si="20"/>
        <v>4203725.6796755232</v>
      </c>
      <c r="V40" s="134">
        <f>U40/ITA!B38*1000</f>
        <v>100.72730337270924</v>
      </c>
      <c r="W40" s="132"/>
      <c r="X40" s="392">
        <f t="shared" si="8"/>
        <v>0</v>
      </c>
      <c r="Y40" s="373">
        <f t="shared" si="14"/>
        <v>23489519.791005418</v>
      </c>
      <c r="Z40" s="373">
        <f t="shared" si="9"/>
        <v>1560469.664687898</v>
      </c>
      <c r="AA40" s="132">
        <f t="shared" si="10"/>
        <v>0.84820393535578775</v>
      </c>
      <c r="AB40" s="181">
        <f t="shared" si="11"/>
        <v>4203725.6796755232</v>
      </c>
      <c r="AC40" s="134">
        <f>AB40/ITA!B38*1000</f>
        <v>100.72730337270924</v>
      </c>
    </row>
    <row r="41" spans="1:29" x14ac:dyDescent="0.25">
      <c r="A41" s="123" t="s">
        <v>38</v>
      </c>
      <c r="B41" s="47">
        <v>656.05</v>
      </c>
      <c r="C41" s="516">
        <v>1.2588740524905177E-3</v>
      </c>
      <c r="D41" s="379">
        <f>'Total Inst. Cost'!G39</f>
        <v>4359259.7650853181</v>
      </c>
      <c r="E41" s="380">
        <f>Facilities!J49</f>
        <v>1006650.3457845399</v>
      </c>
      <c r="F41" s="381">
        <f>'District Services'!K48</f>
        <v>1143438.6625571724</v>
      </c>
      <c r="G41" s="406">
        <f t="shared" si="1"/>
        <v>6509348.773427031</v>
      </c>
      <c r="H41" s="79"/>
      <c r="I41" s="379">
        <f>'FY 19 State Pmt'!BL40</f>
        <v>3063475.7100000009</v>
      </c>
      <c r="J41" s="380">
        <f>'Prop Tax'!K39</f>
        <v>963938.42359478248</v>
      </c>
      <c r="K41" s="540">
        <f t="shared" si="2"/>
        <v>4027414.1335947835</v>
      </c>
      <c r="L41" s="422"/>
      <c r="M41" s="379">
        <f t="shared" si="15"/>
        <v>1968149.9999999998</v>
      </c>
      <c r="N41" s="393">
        <f t="shared" si="16"/>
        <v>4541198.773427031</v>
      </c>
      <c r="O41" s="393">
        <f t="shared" si="4"/>
        <v>2076108.1778203037</v>
      </c>
      <c r="P41" s="180">
        <f t="shared" si="5"/>
        <v>2465090.5956067275</v>
      </c>
      <c r="Q41" s="422"/>
      <c r="R41" s="393">
        <f t="shared" si="17"/>
        <v>4433240.5956067275</v>
      </c>
      <c r="S41" s="374">
        <f t="shared" si="18"/>
        <v>405826.46201194404</v>
      </c>
      <c r="T41" s="79">
        <f t="shared" si="19"/>
        <v>0.68105746825311408</v>
      </c>
      <c r="U41" s="180">
        <f t="shared" si="20"/>
        <v>2076108.1778203035</v>
      </c>
      <c r="V41" s="124">
        <f>U41/ITA!B39*1000</f>
        <v>100.72730337270923</v>
      </c>
      <c r="W41" s="79"/>
      <c r="X41" s="393">
        <f t="shared" si="8"/>
        <v>0</v>
      </c>
      <c r="Y41" s="374">
        <f t="shared" si="14"/>
        <v>4433240.5956067275</v>
      </c>
      <c r="Z41" s="374">
        <f t="shared" si="9"/>
        <v>405826.46201194404</v>
      </c>
      <c r="AA41" s="79">
        <f t="shared" si="10"/>
        <v>0.68105746825311408</v>
      </c>
      <c r="AB41" s="180">
        <f t="shared" si="11"/>
        <v>2076108.1778203035</v>
      </c>
      <c r="AC41" s="124">
        <f>AB41/ITA!B39*1000</f>
        <v>100.72730337270923</v>
      </c>
    </row>
    <row r="42" spans="1:29" x14ac:dyDescent="0.25">
      <c r="A42" s="125" t="s">
        <v>39</v>
      </c>
      <c r="B42" s="126">
        <v>1181.8699999999999</v>
      </c>
      <c r="C42" s="515">
        <v>5.7020509834640335E-4</v>
      </c>
      <c r="D42" s="382">
        <f>'Total Inst. Cost'!G40</f>
        <v>7511964.4734300347</v>
      </c>
      <c r="E42" s="383">
        <f>Facilities!J50</f>
        <v>1745780.9869534641</v>
      </c>
      <c r="F42" s="384">
        <f>'District Services'!K49</f>
        <v>1165745.5718244168</v>
      </c>
      <c r="G42" s="405">
        <f t="shared" si="1"/>
        <v>10423491.032207916</v>
      </c>
      <c r="H42" s="132"/>
      <c r="I42" s="382">
        <f>'FY 19 State Pmt'!BL41</f>
        <v>6516311.75</v>
      </c>
      <c r="J42" s="383">
        <f>'Prop Tax'!K40</f>
        <v>1315242.0961248472</v>
      </c>
      <c r="K42" s="539">
        <f t="shared" si="2"/>
        <v>7831553.8461248474</v>
      </c>
      <c r="L42" s="421"/>
      <c r="M42" s="382">
        <f t="shared" si="15"/>
        <v>3545609.9999999995</v>
      </c>
      <c r="N42" s="392">
        <f t="shared" si="16"/>
        <v>6877881.0322079156</v>
      </c>
      <c r="O42" s="392">
        <f t="shared" si="4"/>
        <v>940370.0595542423</v>
      </c>
      <c r="P42" s="181">
        <f t="shared" si="5"/>
        <v>5937510.972653673</v>
      </c>
      <c r="Q42" s="421"/>
      <c r="R42" s="392">
        <f t="shared" si="17"/>
        <v>9483120.9726536721</v>
      </c>
      <c r="S42" s="373">
        <f t="shared" si="18"/>
        <v>1651567.1265288247</v>
      </c>
      <c r="T42" s="132">
        <f t="shared" si="19"/>
        <v>0.90978357858719683</v>
      </c>
      <c r="U42" s="181">
        <f t="shared" si="20"/>
        <v>940370.05955424346</v>
      </c>
      <c r="V42" s="134">
        <f>U42/ITA!B40*1000</f>
        <v>100.72730337270937</v>
      </c>
      <c r="W42" s="132"/>
      <c r="X42" s="392">
        <f t="shared" si="8"/>
        <v>0</v>
      </c>
      <c r="Y42" s="373">
        <f t="shared" si="14"/>
        <v>9483120.9726536721</v>
      </c>
      <c r="Z42" s="373">
        <f t="shared" si="9"/>
        <v>1651567.1265288247</v>
      </c>
      <c r="AA42" s="132">
        <f t="shared" si="10"/>
        <v>0.90978357858719683</v>
      </c>
      <c r="AB42" s="181">
        <f t="shared" si="11"/>
        <v>940370.05955424346</v>
      </c>
      <c r="AC42" s="134">
        <f>AB42/ITA!B40*1000</f>
        <v>100.72730337270937</v>
      </c>
    </row>
    <row r="43" spans="1:29" x14ac:dyDescent="0.25">
      <c r="A43" s="123" t="s">
        <v>40</v>
      </c>
      <c r="B43" s="47">
        <v>8929.7900000000009</v>
      </c>
      <c r="C43" s="516">
        <v>2.514733014072297E-2</v>
      </c>
      <c r="D43" s="379">
        <f>'Total Inst. Cost'!G41</f>
        <v>54389047.963759944</v>
      </c>
      <c r="E43" s="380">
        <f>Facilities!J51</f>
        <v>12735430.750214107</v>
      </c>
      <c r="F43" s="381">
        <f>'District Services'!K50</f>
        <v>2403698.1471939194</v>
      </c>
      <c r="G43" s="404">
        <f t="shared" si="1"/>
        <v>69528176.861167982</v>
      </c>
      <c r="H43" s="79"/>
      <c r="I43" s="379">
        <f>'FY 19 State Pmt'!BL42</f>
        <v>25547812.140000001</v>
      </c>
      <c r="J43" s="380">
        <f>'Prop Tax'!K41</f>
        <v>18178133.85067866</v>
      </c>
      <c r="K43" s="540">
        <f t="shared" si="2"/>
        <v>43725945.990678661</v>
      </c>
      <c r="L43" s="422"/>
      <c r="M43" s="379">
        <f t="shared" si="15"/>
        <v>26789370.000000004</v>
      </c>
      <c r="N43" s="393">
        <f t="shared" si="16"/>
        <v>42738806.861167982</v>
      </c>
      <c r="O43" s="393">
        <f t="shared" si="4"/>
        <v>41472439.321641527</v>
      </c>
      <c r="P43" s="180">
        <f t="shared" si="5"/>
        <v>1266367.5395264551</v>
      </c>
      <c r="Q43" s="422"/>
      <c r="R43" s="393">
        <f t="shared" si="17"/>
        <v>28055737.539526459</v>
      </c>
      <c r="S43" s="374">
        <f t="shared" si="18"/>
        <v>-15670208.451152202</v>
      </c>
      <c r="T43" s="79">
        <f t="shared" si="19"/>
        <v>0.40351608234381597</v>
      </c>
      <c r="U43" s="180">
        <f t="shared" si="20"/>
        <v>41472439.32164152</v>
      </c>
      <c r="V43" s="124">
        <f>U43/ITA!B41*1000</f>
        <v>100.72730337270922</v>
      </c>
      <c r="W43" s="79"/>
      <c r="X43" s="393">
        <f t="shared" si="8"/>
        <v>15670208.451152202</v>
      </c>
      <c r="Y43" s="374">
        <f t="shared" si="14"/>
        <v>43725945.990678661</v>
      </c>
      <c r="Z43" s="374">
        <f t="shared" si="9"/>
        <v>0</v>
      </c>
      <c r="AA43" s="79">
        <f t="shared" si="10"/>
        <v>0.62889533372907891</v>
      </c>
      <c r="AB43" s="180">
        <f t="shared" si="11"/>
        <v>25802230.870489322</v>
      </c>
      <c r="AC43" s="124">
        <f>AB43/ITA!B41*1000</f>
        <v>62.667862780577579</v>
      </c>
    </row>
    <row r="44" spans="1:29" x14ac:dyDescent="0.25">
      <c r="A44" s="125" t="s">
        <v>41</v>
      </c>
      <c r="B44" s="126">
        <v>74161.66</v>
      </c>
      <c r="C44" s="515">
        <v>9.057358888882347E-2</v>
      </c>
      <c r="D44" s="382">
        <f>'Total Inst. Cost'!G42</f>
        <v>439248598.18830931</v>
      </c>
      <c r="E44" s="383">
        <f>Facilities!J52</f>
        <v>102976071.05592912</v>
      </c>
      <c r="F44" s="384">
        <f>'District Services'!K51</f>
        <v>6315738.6643595546</v>
      </c>
      <c r="G44" s="405">
        <f t="shared" si="1"/>
        <v>548540407.90859795</v>
      </c>
      <c r="H44" s="132"/>
      <c r="I44" s="382">
        <f>'FY 19 State Pmt'!BL43</f>
        <v>312192347.17000008</v>
      </c>
      <c r="J44" s="383">
        <f>'Prop Tax'!K42</f>
        <v>107192735.60479175</v>
      </c>
      <c r="K44" s="539">
        <f t="shared" si="2"/>
        <v>419385082.77479184</v>
      </c>
      <c r="L44" s="421"/>
      <c r="M44" s="382">
        <f t="shared" si="15"/>
        <v>222484980</v>
      </c>
      <c r="N44" s="392">
        <f t="shared" si="16"/>
        <v>326055427.90859795</v>
      </c>
      <c r="O44" s="392">
        <f t="shared" si="4"/>
        <v>149372026.70482162</v>
      </c>
      <c r="P44" s="181">
        <f t="shared" si="5"/>
        <v>176683401.20377633</v>
      </c>
      <c r="Q44" s="421"/>
      <c r="R44" s="392">
        <f t="shared" si="17"/>
        <v>399168381.20377636</v>
      </c>
      <c r="S44" s="373">
        <f t="shared" si="18"/>
        <v>-20216701.571015477</v>
      </c>
      <c r="T44" s="132">
        <f t="shared" si="19"/>
        <v>0.72769184448174484</v>
      </c>
      <c r="U44" s="181">
        <f t="shared" si="20"/>
        <v>149372026.70482159</v>
      </c>
      <c r="V44" s="134">
        <f>U44/ITA!B42*1000</f>
        <v>100.72730337270923</v>
      </c>
      <c r="W44" s="132"/>
      <c r="X44" s="392">
        <f t="shared" si="8"/>
        <v>20216701.571015477</v>
      </c>
      <c r="Y44" s="373">
        <f t="shared" si="14"/>
        <v>419385082.77479184</v>
      </c>
      <c r="Z44" s="373">
        <f t="shared" si="9"/>
        <v>0</v>
      </c>
      <c r="AA44" s="132">
        <f t="shared" si="10"/>
        <v>0.7645472908254245</v>
      </c>
      <c r="AB44" s="181">
        <f t="shared" si="11"/>
        <v>129155325.13380611</v>
      </c>
      <c r="AC44" s="134">
        <f>AB44/ITA!B42*1000</f>
        <v>87.094403844852238</v>
      </c>
    </row>
    <row r="45" spans="1:29" x14ac:dyDescent="0.25">
      <c r="A45" s="123" t="s">
        <v>42</v>
      </c>
      <c r="B45" s="47">
        <v>8515.0300000000007</v>
      </c>
      <c r="C45" s="516">
        <v>8.4135443867481355E-3</v>
      </c>
      <c r="D45" s="379">
        <f>'Total Inst. Cost'!G43</f>
        <v>50989546.371860631</v>
      </c>
      <c r="E45" s="380">
        <f>Facilities!J53</f>
        <v>11945026.852032728</v>
      </c>
      <c r="F45" s="381">
        <f>'District Services'!K52</f>
        <v>2226411.9481925732</v>
      </c>
      <c r="G45" s="406">
        <f t="shared" si="1"/>
        <v>65160985.172085933</v>
      </c>
      <c r="H45" s="79"/>
      <c r="I45" s="379">
        <f>'FY 19 State Pmt'!BL44</f>
        <v>38811652.43</v>
      </c>
      <c r="J45" s="380">
        <f>'Prop Tax'!K43</f>
        <v>14050315.503341394</v>
      </c>
      <c r="K45" s="540">
        <f t="shared" si="2"/>
        <v>52861967.933341391</v>
      </c>
      <c r="L45" s="422"/>
      <c r="M45" s="379">
        <f t="shared" si="15"/>
        <v>25545090.000000004</v>
      </c>
      <c r="N45" s="393">
        <f t="shared" si="16"/>
        <v>39615895.172085926</v>
      </c>
      <c r="O45" s="393">
        <f t="shared" si="4"/>
        <v>13875437.55566722</v>
      </c>
      <c r="P45" s="180">
        <f t="shared" si="5"/>
        <v>25740457.616418704</v>
      </c>
      <c r="Q45" s="422"/>
      <c r="R45" s="393">
        <f t="shared" si="17"/>
        <v>51285547.616418704</v>
      </c>
      <c r="S45" s="374">
        <f t="shared" si="18"/>
        <v>-1576420.316922687</v>
      </c>
      <c r="T45" s="79">
        <f t="shared" si="19"/>
        <v>0.7870591195172526</v>
      </c>
      <c r="U45" s="180">
        <f t="shared" si="20"/>
        <v>13875437.555667229</v>
      </c>
      <c r="V45" s="124">
        <f>U45/ITA!B43*1000</f>
        <v>100.72730337270931</v>
      </c>
      <c r="W45" s="79"/>
      <c r="X45" s="393">
        <f t="shared" si="8"/>
        <v>1576420.316922687</v>
      </c>
      <c r="Y45" s="374">
        <f t="shared" si="14"/>
        <v>52861967.933341391</v>
      </c>
      <c r="Z45" s="374">
        <f t="shared" si="9"/>
        <v>0</v>
      </c>
      <c r="AA45" s="79">
        <f t="shared" si="10"/>
        <v>0.81125182183382227</v>
      </c>
      <c r="AB45" s="180">
        <f t="shared" si="11"/>
        <v>12299017.238744542</v>
      </c>
      <c r="AC45" s="124">
        <f>AB45/ITA!B43*1000</f>
        <v>89.283443179578384</v>
      </c>
    </row>
    <row r="46" spans="1:29" x14ac:dyDescent="0.25">
      <c r="A46" s="125" t="s">
        <v>43</v>
      </c>
      <c r="B46" s="126">
        <v>898.58</v>
      </c>
      <c r="C46" s="515">
        <v>5.5738791422924082E-4</v>
      </c>
      <c r="D46" s="382">
        <f>'Total Inst. Cost'!G44</f>
        <v>5648913.7126899865</v>
      </c>
      <c r="E46" s="383">
        <f>Facilities!J54</f>
        <v>1307510.4353942501</v>
      </c>
      <c r="F46" s="384">
        <f>'District Services'!K53</f>
        <v>1152018.4346966522</v>
      </c>
      <c r="G46" s="405">
        <f t="shared" si="1"/>
        <v>8108442.5827808883</v>
      </c>
      <c r="H46" s="132"/>
      <c r="I46" s="382">
        <f>'FY 19 State Pmt'!BL45</f>
        <v>4824796.6100000003</v>
      </c>
      <c r="J46" s="383">
        <f>'Prop Tax'!K44</f>
        <v>1374918.1913816843</v>
      </c>
      <c r="K46" s="539">
        <f t="shared" si="2"/>
        <v>6199714.8013816848</v>
      </c>
      <c r="L46" s="421"/>
      <c r="M46" s="382">
        <f t="shared" si="15"/>
        <v>2695740</v>
      </c>
      <c r="N46" s="392">
        <f t="shared" si="16"/>
        <v>5412702.5827808883</v>
      </c>
      <c r="O46" s="392">
        <f t="shared" si="4"/>
        <v>919232.23348687252</v>
      </c>
      <c r="P46" s="181">
        <f t="shared" si="5"/>
        <v>4493470.3492940161</v>
      </c>
      <c r="Q46" s="421"/>
      <c r="R46" s="392">
        <f t="shared" si="17"/>
        <v>7189210.3492940161</v>
      </c>
      <c r="S46" s="373">
        <f t="shared" si="18"/>
        <v>989495.5479123313</v>
      </c>
      <c r="T46" s="132">
        <f t="shared" si="19"/>
        <v>0.88663270115040882</v>
      </c>
      <c r="U46" s="181">
        <f t="shared" si="20"/>
        <v>919232.23348687217</v>
      </c>
      <c r="V46" s="134">
        <f>U46/ITA!B44*1000</f>
        <v>100.7273033727092</v>
      </c>
      <c r="W46" s="132"/>
      <c r="X46" s="392">
        <f t="shared" si="8"/>
        <v>0</v>
      </c>
      <c r="Y46" s="373">
        <f t="shared" si="14"/>
        <v>7189210.3492940161</v>
      </c>
      <c r="Z46" s="373">
        <f t="shared" si="9"/>
        <v>989495.5479123313</v>
      </c>
      <c r="AA46" s="132">
        <f t="shared" si="10"/>
        <v>0.88663270115040882</v>
      </c>
      <c r="AB46" s="181">
        <f t="shared" si="11"/>
        <v>919232.23348687217</v>
      </c>
      <c r="AC46" s="134">
        <f>AB46/ITA!B44*1000</f>
        <v>100.7273033727092</v>
      </c>
    </row>
    <row r="47" spans="1:29" x14ac:dyDescent="0.25">
      <c r="A47" s="123" t="s">
        <v>44</v>
      </c>
      <c r="B47" s="47">
        <v>1516.32</v>
      </c>
      <c r="C47" s="516">
        <v>2.9505436716454336E-3</v>
      </c>
      <c r="D47" s="379">
        <f>'Total Inst. Cost'!G45</f>
        <v>8926769.2633693255</v>
      </c>
      <c r="E47" s="380">
        <f>Facilities!J55</f>
        <v>2098667.9578444017</v>
      </c>
      <c r="F47" s="381">
        <f>'District Services'!K54</f>
        <v>1174931.8027035149</v>
      </c>
      <c r="G47" s="404">
        <f t="shared" si="1"/>
        <v>12200369.023917243</v>
      </c>
      <c r="H47" s="79"/>
      <c r="I47" s="379">
        <f>'FY 19 State Pmt'!BL46</f>
        <v>6186039.8999999994</v>
      </c>
      <c r="J47" s="380">
        <f>'Prop Tax'!K45</f>
        <v>2968849.4208436767</v>
      </c>
      <c r="K47" s="540">
        <f t="shared" si="2"/>
        <v>9154889.3208436761</v>
      </c>
      <c r="L47" s="422"/>
      <c r="M47" s="379">
        <f t="shared" si="15"/>
        <v>4548960</v>
      </c>
      <c r="N47" s="393">
        <f t="shared" si="16"/>
        <v>7651409.0239172429</v>
      </c>
      <c r="O47" s="393">
        <f t="shared" si="4"/>
        <v>4865973.5527952434</v>
      </c>
      <c r="P47" s="180">
        <f t="shared" si="5"/>
        <v>2785435.4711219994</v>
      </c>
      <c r="Q47" s="422"/>
      <c r="R47" s="393">
        <f t="shared" si="17"/>
        <v>7334395.4711219994</v>
      </c>
      <c r="S47" s="374">
        <f t="shared" si="18"/>
        <v>-1820493.8497216767</v>
      </c>
      <c r="T47" s="79">
        <f t="shared" si="19"/>
        <v>0.60116177279095961</v>
      </c>
      <c r="U47" s="180">
        <f t="shared" si="20"/>
        <v>4865973.5527952434</v>
      </c>
      <c r="V47" s="124">
        <f>U47/ITA!B45*1000</f>
        <v>100.72730337270924</v>
      </c>
      <c r="W47" s="79"/>
      <c r="X47" s="393">
        <f t="shared" si="8"/>
        <v>1820493.8497216767</v>
      </c>
      <c r="Y47" s="374">
        <f t="shared" si="14"/>
        <v>9154889.3208436761</v>
      </c>
      <c r="Z47" s="374">
        <f t="shared" si="9"/>
        <v>0</v>
      </c>
      <c r="AA47" s="79">
        <f t="shared" si="10"/>
        <v>0.75037806667131968</v>
      </c>
      <c r="AB47" s="180">
        <f t="shared" si="11"/>
        <v>3045479.7030735668</v>
      </c>
      <c r="AC47" s="124">
        <f>AB47/ITA!B45*1000</f>
        <v>63.042463062854218</v>
      </c>
    </row>
    <row r="48" spans="1:29" x14ac:dyDescent="0.25">
      <c r="A48" s="125" t="s">
        <v>45</v>
      </c>
      <c r="B48" s="126">
        <v>2087.65</v>
      </c>
      <c r="C48" s="515">
        <v>1.5649522717339638E-3</v>
      </c>
      <c r="D48" s="382">
        <f>'Total Inst. Cost'!G46</f>
        <v>12490916.49882987</v>
      </c>
      <c r="E48" s="383">
        <f>Facilities!J56</f>
        <v>2940462.4863311071</v>
      </c>
      <c r="F48" s="384">
        <f>'District Services'!K55</f>
        <v>1200820.2096142164</v>
      </c>
      <c r="G48" s="405">
        <f t="shared" si="1"/>
        <v>16632199.194775194</v>
      </c>
      <c r="H48" s="132"/>
      <c r="I48" s="382">
        <f>'FY 19 State Pmt'!BL47</f>
        <v>10893818.889999999</v>
      </c>
      <c r="J48" s="383">
        <f>'Prop Tax'!K46</f>
        <v>3170449.9538453948</v>
      </c>
      <c r="K48" s="539">
        <f t="shared" si="2"/>
        <v>14064268.843845394</v>
      </c>
      <c r="L48" s="421"/>
      <c r="M48" s="382">
        <f t="shared" si="15"/>
        <v>6262950</v>
      </c>
      <c r="N48" s="392">
        <f t="shared" si="16"/>
        <v>10369249.194775194</v>
      </c>
      <c r="O48" s="392">
        <f t="shared" si="4"/>
        <v>2580885.8343037595</v>
      </c>
      <c r="P48" s="181">
        <f t="shared" si="5"/>
        <v>7788363.3604714349</v>
      </c>
      <c r="Q48" s="421"/>
      <c r="R48" s="392">
        <f t="shared" si="17"/>
        <v>14051313.360471435</v>
      </c>
      <c r="S48" s="373">
        <f t="shared" si="18"/>
        <v>-12955.483373958617</v>
      </c>
      <c r="T48" s="132">
        <f t="shared" si="19"/>
        <v>0.84482594249385168</v>
      </c>
      <c r="U48" s="181">
        <f t="shared" si="20"/>
        <v>2580885.834303759</v>
      </c>
      <c r="V48" s="134">
        <f>U48/ITA!B46*1000</f>
        <v>100.72730337270923</v>
      </c>
      <c r="W48" s="132"/>
      <c r="X48" s="392">
        <f t="shared" si="8"/>
        <v>12955.483373958617</v>
      </c>
      <c r="Y48" s="373">
        <f t="shared" si="14"/>
        <v>14064268.843845394</v>
      </c>
      <c r="Z48" s="373">
        <f t="shared" si="9"/>
        <v>0</v>
      </c>
      <c r="AA48" s="132">
        <f t="shared" si="10"/>
        <v>0.84560488238161047</v>
      </c>
      <c r="AB48" s="181">
        <f t="shared" si="11"/>
        <v>2567930.3509298004</v>
      </c>
      <c r="AC48" s="134">
        <f>AB48/ITA!B46*1000</f>
        <v>100.22167430271945</v>
      </c>
    </row>
    <row r="49" spans="1:29" x14ac:dyDescent="0.25">
      <c r="A49" s="123" t="s">
        <v>46</v>
      </c>
      <c r="B49" s="47">
        <v>662.1</v>
      </c>
      <c r="C49" s="516">
        <v>7.6481867090661109E-4</v>
      </c>
      <c r="D49" s="379">
        <f>'Total Inst. Cost'!G47</f>
        <v>4295635.3025124501</v>
      </c>
      <c r="E49" s="380">
        <f>Facilities!J57</f>
        <v>999962.20649067266</v>
      </c>
      <c r="F49" s="381">
        <f>'District Services'!K56</f>
        <v>1143047.1204426477</v>
      </c>
      <c r="G49" s="406">
        <f t="shared" si="1"/>
        <v>6438644.6294457708</v>
      </c>
      <c r="H49" s="79"/>
      <c r="I49" s="379">
        <f>'FY 19 State Pmt'!BL48</f>
        <v>3627758.8199999989</v>
      </c>
      <c r="J49" s="380">
        <f>'Prop Tax'!K47</f>
        <v>1585720.2533301685</v>
      </c>
      <c r="K49" s="540">
        <f t="shared" si="2"/>
        <v>5213479.0733301677</v>
      </c>
      <c r="L49" s="422"/>
      <c r="M49" s="379">
        <f t="shared" si="15"/>
        <v>1986300</v>
      </c>
      <c r="N49" s="393">
        <f t="shared" si="16"/>
        <v>4452344.6294457708</v>
      </c>
      <c r="O49" s="393">
        <f t="shared" si="4"/>
        <v>1261322.6033831777</v>
      </c>
      <c r="P49" s="180">
        <f t="shared" si="5"/>
        <v>3191022.0260625929</v>
      </c>
      <c r="Q49" s="422"/>
      <c r="R49" s="393">
        <f t="shared" si="17"/>
        <v>5177322.0260625929</v>
      </c>
      <c r="S49" s="374">
        <f t="shared" si="18"/>
        <v>-36157.047267574817</v>
      </c>
      <c r="T49" s="79">
        <f t="shared" si="19"/>
        <v>0.80410122378632498</v>
      </c>
      <c r="U49" s="180">
        <f t="shared" si="20"/>
        <v>1261322.6033831779</v>
      </c>
      <c r="V49" s="124">
        <f>U49/ITA!B47*1000</f>
        <v>100.72730337270926</v>
      </c>
      <c r="W49" s="79"/>
      <c r="X49" s="393">
        <f t="shared" si="8"/>
        <v>36157.047267574817</v>
      </c>
      <c r="Y49" s="374">
        <f t="shared" si="14"/>
        <v>5213479.0733301677</v>
      </c>
      <c r="Z49" s="374">
        <f t="shared" si="9"/>
        <v>0</v>
      </c>
      <c r="AA49" s="79">
        <f t="shared" si="10"/>
        <v>0.80971685399244286</v>
      </c>
      <c r="AB49" s="180">
        <f t="shared" si="11"/>
        <v>1225165.5561156031</v>
      </c>
      <c r="AC49" s="124">
        <f>AB49/ITA!B47*1000</f>
        <v>97.839856608960105</v>
      </c>
    </row>
    <row r="50" spans="1:29" x14ac:dyDescent="0.25">
      <c r="A50" s="125" t="s">
        <v>47</v>
      </c>
      <c r="B50" s="126">
        <v>43529.94</v>
      </c>
      <c r="C50" s="515">
        <v>9.9572740897162254E-2</v>
      </c>
      <c r="D50" s="382">
        <f>'Total Inst. Cost'!G48</f>
        <v>259925256.60418406</v>
      </c>
      <c r="E50" s="383">
        <f>Facilities!J58</f>
        <v>61206925.01893384</v>
      </c>
      <c r="F50" s="384">
        <f>'District Services'!K57</f>
        <v>5071243.6453510327</v>
      </c>
      <c r="G50" s="405">
        <f t="shared" si="1"/>
        <v>326203425.26846898</v>
      </c>
      <c r="H50" s="132"/>
      <c r="I50" s="382">
        <f>'FY 19 State Pmt'!BL49</f>
        <v>148180881.41999999</v>
      </c>
      <c r="J50" s="383">
        <f>'Prop Tax'!K48</f>
        <v>54556587.447544195</v>
      </c>
      <c r="K50" s="539">
        <f t="shared" si="2"/>
        <v>202737468.86754417</v>
      </c>
      <c r="L50" s="421"/>
      <c r="M50" s="382">
        <f t="shared" si="15"/>
        <v>130589820</v>
      </c>
      <c r="N50" s="392">
        <f t="shared" si="16"/>
        <v>195613605.26846898</v>
      </c>
      <c r="O50" s="392">
        <f t="shared" si="4"/>
        <v>164213235.8321349</v>
      </c>
      <c r="P50" s="181">
        <f t="shared" si="5"/>
        <v>31400369.436334074</v>
      </c>
      <c r="Q50" s="421"/>
      <c r="R50" s="392">
        <f t="shared" si="17"/>
        <v>161990189.43633407</v>
      </c>
      <c r="S50" s="373">
        <f t="shared" si="18"/>
        <v>-40747279.431210101</v>
      </c>
      <c r="T50" s="132">
        <f t="shared" si="19"/>
        <v>0.49659254590295726</v>
      </c>
      <c r="U50" s="181">
        <f t="shared" si="20"/>
        <v>164213235.8321349</v>
      </c>
      <c r="V50" s="134">
        <f>U50/ITA!B48*1000</f>
        <v>100.72730337270924</v>
      </c>
      <c r="W50" s="132"/>
      <c r="X50" s="392">
        <f t="shared" si="8"/>
        <v>40747279.431210101</v>
      </c>
      <c r="Y50" s="373">
        <f t="shared" si="14"/>
        <v>202737468.86754417</v>
      </c>
      <c r="Z50" s="373">
        <f t="shared" si="9"/>
        <v>0</v>
      </c>
      <c r="AA50" s="132">
        <f t="shared" si="10"/>
        <v>0.62150625396005277</v>
      </c>
      <c r="AB50" s="181">
        <f t="shared" si="11"/>
        <v>123465956.4009248</v>
      </c>
      <c r="AC50" s="134">
        <f>AB50/ITA!B48*1000</f>
        <v>75.733193999724875</v>
      </c>
    </row>
    <row r="51" spans="1:29" x14ac:dyDescent="0.25">
      <c r="A51" s="123" t="s">
        <v>48</v>
      </c>
      <c r="B51" s="47">
        <v>2404.8000000000002</v>
      </c>
      <c r="C51" s="516">
        <v>6.2600896758453449E-3</v>
      </c>
      <c r="D51" s="379">
        <f>'Total Inst. Cost'!G49</f>
        <v>15030572.768357413</v>
      </c>
      <c r="E51" s="380">
        <f>Facilities!J59</f>
        <v>3457626.2679540794</v>
      </c>
      <c r="F51" s="381">
        <f>'District Services'!K58</f>
        <v>1217319.1182682149</v>
      </c>
      <c r="G51" s="404">
        <f t="shared" si="1"/>
        <v>19705518.154579706</v>
      </c>
      <c r="H51" s="79"/>
      <c r="I51" s="379">
        <f>'FY 19 State Pmt'!BL50</f>
        <v>8705314.7899999991</v>
      </c>
      <c r="J51" s="380">
        <f>'Prop Tax'!K49</f>
        <v>3930111.2477237014</v>
      </c>
      <c r="K51" s="540">
        <f t="shared" si="2"/>
        <v>12635426.037723701</v>
      </c>
      <c r="L51" s="422"/>
      <c r="M51" s="379">
        <f t="shared" si="15"/>
        <v>7214400.0000000009</v>
      </c>
      <c r="N51" s="393">
        <f t="shared" si="16"/>
        <v>12491118.154579706</v>
      </c>
      <c r="O51" s="393">
        <f t="shared" si="4"/>
        <v>10324006.078446731</v>
      </c>
      <c r="P51" s="180">
        <f t="shared" si="5"/>
        <v>2167112.0761329755</v>
      </c>
      <c r="Q51" s="422"/>
      <c r="R51" s="393">
        <f t="shared" si="17"/>
        <v>9381512.0761329755</v>
      </c>
      <c r="S51" s="374">
        <f t="shared" si="18"/>
        <v>-3253913.9615907259</v>
      </c>
      <c r="T51" s="79">
        <f t="shared" si="19"/>
        <v>0.47608553109539237</v>
      </c>
      <c r="U51" s="180">
        <f t="shared" si="20"/>
        <v>10324006.078446731</v>
      </c>
      <c r="V51" s="124">
        <f>U51/ITA!B49*1000</f>
        <v>100.72730337270923</v>
      </c>
      <c r="W51" s="79"/>
      <c r="X51" s="393">
        <f t="shared" si="8"/>
        <v>3253913.9615907259</v>
      </c>
      <c r="Y51" s="374">
        <f t="shared" si="14"/>
        <v>12635426.037723701</v>
      </c>
      <c r="Z51" s="374">
        <f t="shared" si="9"/>
        <v>0</v>
      </c>
      <c r="AA51" s="79">
        <f t="shared" si="10"/>
        <v>0.641212575005907</v>
      </c>
      <c r="AB51" s="180">
        <f t="shared" si="11"/>
        <v>7070092.116856005</v>
      </c>
      <c r="AC51" s="124">
        <f>AB51/ITA!B49*1000</f>
        <v>68.980133110760391</v>
      </c>
    </row>
    <row r="52" spans="1:29" x14ac:dyDescent="0.25">
      <c r="A52" s="125" t="s">
        <v>49</v>
      </c>
      <c r="B52" s="126">
        <v>10525.82</v>
      </c>
      <c r="C52" s="515">
        <v>8.7248394586505185E-3</v>
      </c>
      <c r="D52" s="382">
        <f>'Total Inst. Cost'!G50</f>
        <v>62579152.539829418</v>
      </c>
      <c r="E52" s="383">
        <f>Facilities!J60</f>
        <v>14655736.876247827</v>
      </c>
      <c r="F52" s="384">
        <f>'District Services'!K59</f>
        <v>2759302.2922234498</v>
      </c>
      <c r="G52" s="405">
        <f t="shared" si="1"/>
        <v>79994191.708300695</v>
      </c>
      <c r="H52" s="132"/>
      <c r="I52" s="382">
        <f>'FY 19 State Pmt'!BL51</f>
        <v>49922078.980000004</v>
      </c>
      <c r="J52" s="383">
        <f>'Prop Tax'!K50</f>
        <v>15366186.393296137</v>
      </c>
      <c r="K52" s="539">
        <f t="shared" si="2"/>
        <v>65288265.373296142</v>
      </c>
      <c r="L52" s="421"/>
      <c r="M52" s="382">
        <f t="shared" si="15"/>
        <v>31577460</v>
      </c>
      <c r="N52" s="392">
        <f t="shared" si="16"/>
        <v>48416731.708300695</v>
      </c>
      <c r="O52" s="392">
        <f t="shared" si="4"/>
        <v>14388818.734040951</v>
      </c>
      <c r="P52" s="181">
        <f t="shared" si="5"/>
        <v>34027912.974259742</v>
      </c>
      <c r="Q52" s="421"/>
      <c r="R52" s="392">
        <f t="shared" si="17"/>
        <v>65605372.974259742</v>
      </c>
      <c r="S52" s="373">
        <f t="shared" si="18"/>
        <v>317107.60096359998</v>
      </c>
      <c r="T52" s="132">
        <f t="shared" si="19"/>
        <v>0.82012670636750895</v>
      </c>
      <c r="U52" s="181">
        <f t="shared" si="20"/>
        <v>14388818.734040953</v>
      </c>
      <c r="V52" s="134">
        <f>U52/ITA!B50*1000</f>
        <v>100.72730337270926</v>
      </c>
      <c r="W52" s="132"/>
      <c r="X52" s="392">
        <f t="shared" si="8"/>
        <v>0</v>
      </c>
      <c r="Y52" s="373">
        <f t="shared" si="14"/>
        <v>65605372.974259742</v>
      </c>
      <c r="Z52" s="373">
        <f t="shared" si="9"/>
        <v>317107.60096359998</v>
      </c>
      <c r="AA52" s="132">
        <f t="shared" si="10"/>
        <v>0.82012670636750895</v>
      </c>
      <c r="AB52" s="181">
        <f t="shared" si="11"/>
        <v>14388818.734040953</v>
      </c>
      <c r="AC52" s="134">
        <f>AB52/ITA!B50*1000</f>
        <v>100.72730337270926</v>
      </c>
    </row>
    <row r="53" spans="1:29" x14ac:dyDescent="0.25">
      <c r="A53" s="123" t="s">
        <v>50</v>
      </c>
      <c r="B53" s="47">
        <v>13258.42</v>
      </c>
      <c r="C53" s="516">
        <v>1.2120208595260508E-2</v>
      </c>
      <c r="D53" s="379">
        <f>'Total Inst. Cost'!G51</f>
        <v>77889996.458737433</v>
      </c>
      <c r="E53" s="380">
        <f>Facilities!J61</f>
        <v>18358153.718373217</v>
      </c>
      <c r="F53" s="381">
        <f>'District Services'!K60</f>
        <v>3623520.8927567909</v>
      </c>
      <c r="G53" s="406">
        <f t="shared" si="1"/>
        <v>99871671.069867432</v>
      </c>
      <c r="H53" s="79"/>
      <c r="I53" s="379">
        <f>'FY 19 State Pmt'!BL52</f>
        <v>59816227.270000026</v>
      </c>
      <c r="J53" s="380">
        <f>'Prop Tax'!K51</f>
        <v>16083032.14527007</v>
      </c>
      <c r="K53" s="540">
        <f t="shared" si="2"/>
        <v>75899259.41527009</v>
      </c>
      <c r="L53" s="422"/>
      <c r="M53" s="379">
        <f t="shared" si="15"/>
        <v>39775260</v>
      </c>
      <c r="N53" s="393">
        <f t="shared" si="16"/>
        <v>60096411.069867432</v>
      </c>
      <c r="O53" s="393">
        <f t="shared" si="4"/>
        <v>19988388.935117725</v>
      </c>
      <c r="P53" s="180">
        <f t="shared" si="5"/>
        <v>40108022.134749711</v>
      </c>
      <c r="Q53" s="422"/>
      <c r="R53" s="393">
        <f t="shared" si="17"/>
        <v>79883282.134749711</v>
      </c>
      <c r="S53" s="374">
        <f t="shared" si="18"/>
        <v>3984022.7194796205</v>
      </c>
      <c r="T53" s="79">
        <f t="shared" si="19"/>
        <v>0.79985927219406994</v>
      </c>
      <c r="U53" s="180">
        <f t="shared" si="20"/>
        <v>19988388.935117722</v>
      </c>
      <c r="V53" s="124">
        <f>U53/ITA!B51*1000</f>
        <v>100.72730337270922</v>
      </c>
      <c r="W53" s="79"/>
      <c r="X53" s="393">
        <f t="shared" si="8"/>
        <v>0</v>
      </c>
      <c r="Y53" s="374">
        <f t="shared" si="14"/>
        <v>79883282.134749711</v>
      </c>
      <c r="Z53" s="374">
        <f t="shared" si="9"/>
        <v>3984022.7194796205</v>
      </c>
      <c r="AA53" s="79">
        <f t="shared" si="10"/>
        <v>0.79985927219406994</v>
      </c>
      <c r="AB53" s="180">
        <f t="shared" si="11"/>
        <v>19988388.935117722</v>
      </c>
      <c r="AC53" s="124">
        <f>AB53/ITA!B51*1000</f>
        <v>100.72730337270922</v>
      </c>
    </row>
    <row r="54" spans="1:29" x14ac:dyDescent="0.25">
      <c r="A54" s="125" t="s">
        <v>51</v>
      </c>
      <c r="B54" s="126">
        <v>5388.16</v>
      </c>
      <c r="C54" s="515">
        <v>4.465096153017694E-3</v>
      </c>
      <c r="D54" s="382">
        <f>'Total Inst. Cost'!G52</f>
        <v>33626901.71245192</v>
      </c>
      <c r="E54" s="383">
        <f>Facilities!J62</f>
        <v>7772001.6417559087</v>
      </c>
      <c r="F54" s="384">
        <f>'District Services'!K61</f>
        <v>1349034.3350494609</v>
      </c>
      <c r="G54" s="405">
        <f t="shared" si="1"/>
        <v>42747937.689257286</v>
      </c>
      <c r="H54" s="132"/>
      <c r="I54" s="382">
        <f>'FY 19 State Pmt'!BL53</f>
        <v>27442931.940000001</v>
      </c>
      <c r="J54" s="383">
        <f>'Prop Tax'!K52</f>
        <v>7563163.644267695</v>
      </c>
      <c r="K54" s="539">
        <f t="shared" si="2"/>
        <v>35006095.584267698</v>
      </c>
      <c r="L54" s="421"/>
      <c r="M54" s="382">
        <f t="shared" si="15"/>
        <v>16164480</v>
      </c>
      <c r="N54" s="392">
        <f t="shared" si="16"/>
        <v>26583457.689257286</v>
      </c>
      <c r="O54" s="392">
        <f t="shared" si="4"/>
        <v>7363741.130174607</v>
      </c>
      <c r="P54" s="181">
        <f t="shared" si="5"/>
        <v>19219716.559082679</v>
      </c>
      <c r="Q54" s="421"/>
      <c r="R54" s="392">
        <f t="shared" si="17"/>
        <v>35384196.559082679</v>
      </c>
      <c r="S54" s="373">
        <f t="shared" si="18"/>
        <v>378100.97481498122</v>
      </c>
      <c r="T54" s="132">
        <f t="shared" si="19"/>
        <v>0.82774043548713361</v>
      </c>
      <c r="U54" s="181">
        <f t="shared" si="20"/>
        <v>7363741.130174607</v>
      </c>
      <c r="V54" s="134">
        <f>U54/ITA!B52*1000</f>
        <v>100.72730337270924</v>
      </c>
      <c r="W54" s="132"/>
      <c r="X54" s="392">
        <f t="shared" si="8"/>
        <v>0</v>
      </c>
      <c r="Y54" s="373">
        <f t="shared" si="14"/>
        <v>35384196.559082679</v>
      </c>
      <c r="Z54" s="373">
        <f t="shared" si="9"/>
        <v>378100.97481498122</v>
      </c>
      <c r="AA54" s="132">
        <f t="shared" si="10"/>
        <v>0.82774043548713361</v>
      </c>
      <c r="AB54" s="181">
        <f t="shared" si="11"/>
        <v>7363741.130174607</v>
      </c>
      <c r="AC54" s="134">
        <f>AB54/ITA!B52*1000</f>
        <v>100.72730337270924</v>
      </c>
    </row>
    <row r="55" spans="1:29" x14ac:dyDescent="0.25">
      <c r="A55" s="123" t="s">
        <v>52</v>
      </c>
      <c r="B55" s="47">
        <v>2979.52</v>
      </c>
      <c r="C55" s="516">
        <v>2.3726243938374772E-3</v>
      </c>
      <c r="D55" s="379">
        <f>'Total Inst. Cost'!G53</f>
        <v>19091765.19578898</v>
      </c>
      <c r="E55" s="380">
        <f>Facilities!J63</f>
        <v>4427579.6172468383</v>
      </c>
      <c r="F55" s="381">
        <f>'District Services'!K62</f>
        <v>1248616.053971905</v>
      </c>
      <c r="G55" s="404">
        <f t="shared" si="1"/>
        <v>24767960.867007721</v>
      </c>
      <c r="H55" s="79"/>
      <c r="I55" s="379">
        <f>'FY 19 State Pmt'!BL54</f>
        <v>15494870.219999997</v>
      </c>
      <c r="J55" s="380">
        <f>'Prop Tax'!K53</f>
        <v>3874066.4311927739</v>
      </c>
      <c r="K55" s="540">
        <f t="shared" si="2"/>
        <v>19368936.651192769</v>
      </c>
      <c r="L55" s="422"/>
      <c r="M55" s="379">
        <f t="shared" si="15"/>
        <v>8938560</v>
      </c>
      <c r="N55" s="393">
        <f t="shared" si="16"/>
        <v>15829400.867007721</v>
      </c>
      <c r="O55" s="393">
        <f t="shared" si="4"/>
        <v>3912881.4333704212</v>
      </c>
      <c r="P55" s="180">
        <f t="shared" si="5"/>
        <v>11916519.433637301</v>
      </c>
      <c r="Q55" s="422"/>
      <c r="R55" s="393">
        <f t="shared" si="17"/>
        <v>20855079.433637299</v>
      </c>
      <c r="S55" s="374">
        <f t="shared" si="18"/>
        <v>1486142.7824445292</v>
      </c>
      <c r="T55" s="79">
        <f t="shared" si="19"/>
        <v>0.84201842637023083</v>
      </c>
      <c r="U55" s="180">
        <f t="shared" si="20"/>
        <v>3912881.4333704226</v>
      </c>
      <c r="V55" s="124">
        <f>U55/ITA!B53*1000</f>
        <v>100.72730337270929</v>
      </c>
      <c r="W55" s="79"/>
      <c r="X55" s="393">
        <f t="shared" si="8"/>
        <v>0</v>
      </c>
      <c r="Y55" s="374">
        <f t="shared" si="14"/>
        <v>20855079.433637299</v>
      </c>
      <c r="Z55" s="374">
        <f t="shared" si="9"/>
        <v>1486142.7824445292</v>
      </c>
      <c r="AA55" s="79">
        <f t="shared" si="10"/>
        <v>0.84201842637023083</v>
      </c>
      <c r="AB55" s="180">
        <f t="shared" si="11"/>
        <v>3912881.4333704226</v>
      </c>
      <c r="AC55" s="124">
        <f>AB55/ITA!B53*1000</f>
        <v>100.72730337270929</v>
      </c>
    </row>
    <row r="56" spans="1:29" x14ac:dyDescent="0.25">
      <c r="A56" s="125" t="s">
        <v>53</v>
      </c>
      <c r="B56" s="126">
        <v>1729.85</v>
      </c>
      <c r="C56" s="515">
        <v>1.6673044362795805E-3</v>
      </c>
      <c r="D56" s="382">
        <f>'Total Inst. Cost'!G54</f>
        <v>10908566.86079569</v>
      </c>
      <c r="E56" s="383">
        <f>Facilities!J64</f>
        <v>2531396.1516253799</v>
      </c>
      <c r="F56" s="384">
        <f>'District Services'!K63</f>
        <v>1189646.8528093267</v>
      </c>
      <c r="G56" s="405">
        <f t="shared" si="1"/>
        <v>14629609.865230396</v>
      </c>
      <c r="H56" s="132"/>
      <c r="I56" s="382">
        <f>'FY 19 State Pmt'!BL55</f>
        <v>8921745.120000001</v>
      </c>
      <c r="J56" s="383">
        <f>'Prop Tax'!K54</f>
        <v>3888122.1268320875</v>
      </c>
      <c r="K56" s="539">
        <f t="shared" si="2"/>
        <v>12809867.246832088</v>
      </c>
      <c r="L56" s="421"/>
      <c r="M56" s="382">
        <f t="shared" si="15"/>
        <v>5189550</v>
      </c>
      <c r="N56" s="392">
        <f t="shared" si="16"/>
        <v>9440059.8652303964</v>
      </c>
      <c r="O56" s="392">
        <f t="shared" si="4"/>
        <v>2749682.8362042848</v>
      </c>
      <c r="P56" s="181">
        <f t="shared" si="5"/>
        <v>6690377.0290261116</v>
      </c>
      <c r="Q56" s="421"/>
      <c r="R56" s="392">
        <f t="shared" si="17"/>
        <v>11879927.029026112</v>
      </c>
      <c r="S56" s="373">
        <f t="shared" si="18"/>
        <v>-929940.21780597605</v>
      </c>
      <c r="T56" s="132">
        <f t="shared" si="19"/>
        <v>0.81204674208439798</v>
      </c>
      <c r="U56" s="181">
        <f t="shared" si="20"/>
        <v>2749682.8362042848</v>
      </c>
      <c r="V56" s="134">
        <f>U56/ITA!B54*1000</f>
        <v>100.72730337270924</v>
      </c>
      <c r="W56" s="132"/>
      <c r="X56" s="392">
        <f t="shared" si="8"/>
        <v>929940.21780597605</v>
      </c>
      <c r="Y56" s="373">
        <f t="shared" si="14"/>
        <v>12809867.246832088</v>
      </c>
      <c r="Z56" s="373">
        <f t="shared" si="9"/>
        <v>0</v>
      </c>
      <c r="AA56" s="132">
        <f t="shared" si="10"/>
        <v>0.87561236183589441</v>
      </c>
      <c r="AB56" s="181">
        <f t="shared" si="11"/>
        <v>1819742.6183983088</v>
      </c>
      <c r="AC56" s="134">
        <f>AB56/ITA!B54*1000</f>
        <v>66.661421590237836</v>
      </c>
    </row>
    <row r="57" spans="1:29" x14ac:dyDescent="0.25">
      <c r="A57" s="123" t="s">
        <v>54</v>
      </c>
      <c r="B57" s="47">
        <v>25998.85</v>
      </c>
      <c r="C57" s="516">
        <v>1.8670234871242253E-2</v>
      </c>
      <c r="D57" s="379">
        <f>'Total Inst. Cost'!G55</f>
        <v>149246473.9936707</v>
      </c>
      <c r="E57" s="380">
        <f>Facilities!J65</f>
        <v>35076499.807726398</v>
      </c>
      <c r="F57" s="381">
        <f>'District Services'!K64</f>
        <v>4264056.7707009455</v>
      </c>
      <c r="G57" s="406">
        <f t="shared" si="1"/>
        <v>188587030.57209802</v>
      </c>
      <c r="H57" s="79"/>
      <c r="I57" s="379">
        <f>'FY 19 State Pmt'!BL56</f>
        <v>122984146.39</v>
      </c>
      <c r="J57" s="380">
        <f>'Prop Tax'!K55</f>
        <v>51162915.513940655</v>
      </c>
      <c r="K57" s="540">
        <f t="shared" si="2"/>
        <v>174147061.90394065</v>
      </c>
      <c r="L57" s="422"/>
      <c r="M57" s="379">
        <f t="shared" si="15"/>
        <v>77996550</v>
      </c>
      <c r="N57" s="393">
        <f t="shared" si="16"/>
        <v>110590480.57209802</v>
      </c>
      <c r="O57" s="393">
        <f t="shared" si="4"/>
        <v>30790552.256857969</v>
      </c>
      <c r="P57" s="180">
        <f t="shared" si="5"/>
        <v>79799928.315240055</v>
      </c>
      <c r="Q57" s="422"/>
      <c r="R57" s="393">
        <f t="shared" si="17"/>
        <v>157796478.31524006</v>
      </c>
      <c r="S57" s="374">
        <f t="shared" si="18"/>
        <v>-16350583.588700593</v>
      </c>
      <c r="T57" s="79">
        <f t="shared" si="19"/>
        <v>0.83673027692598123</v>
      </c>
      <c r="U57" s="180">
        <f t="shared" si="20"/>
        <v>30790552.256857961</v>
      </c>
      <c r="V57" s="124">
        <f>U57/ITA!B55*1000</f>
        <v>100.72730337270922</v>
      </c>
      <c r="W57" s="79"/>
      <c r="X57" s="393">
        <f t="shared" si="8"/>
        <v>16350583.588700593</v>
      </c>
      <c r="Y57" s="374">
        <f t="shared" si="14"/>
        <v>174147061.90394065</v>
      </c>
      <c r="Z57" s="374">
        <f t="shared" si="9"/>
        <v>0</v>
      </c>
      <c r="AA57" s="79">
        <f t="shared" si="10"/>
        <v>0.92343074375606715</v>
      </c>
      <c r="AB57" s="180">
        <f t="shared" si="11"/>
        <v>14439968.668157369</v>
      </c>
      <c r="AC57" s="124">
        <f>AB57/ITA!B55*1000</f>
        <v>47.238487072148679</v>
      </c>
    </row>
    <row r="58" spans="1:29" x14ac:dyDescent="0.25">
      <c r="A58" s="125" t="s">
        <v>55</v>
      </c>
      <c r="B58" s="126">
        <v>8632.56</v>
      </c>
      <c r="C58" s="515">
        <v>1.4100329293555609E-2</v>
      </c>
      <c r="D58" s="382">
        <f>'Total Inst. Cost'!G56</f>
        <v>54087699.372368112</v>
      </c>
      <c r="E58" s="383">
        <f>Facilities!J66</f>
        <v>12491761.798122372</v>
      </c>
      <c r="F58" s="384">
        <f>'District Services'!K65</f>
        <v>2398518.5535541018</v>
      </c>
      <c r="G58" s="405">
        <f t="shared" si="1"/>
        <v>68977979.724044591</v>
      </c>
      <c r="H58" s="132"/>
      <c r="I58" s="382">
        <f>'FY 19 State Pmt'!BL57</f>
        <v>37095173.119999997</v>
      </c>
      <c r="J58" s="383">
        <f>'Prop Tax'!K56</f>
        <v>14380968.889584647</v>
      </c>
      <c r="K58" s="539">
        <f t="shared" si="2"/>
        <v>51476142.009584643</v>
      </c>
      <c r="L58" s="421"/>
      <c r="M58" s="382">
        <f t="shared" si="15"/>
        <v>25897680</v>
      </c>
      <c r="N58" s="392">
        <f t="shared" si="16"/>
        <v>43080299.724044591</v>
      </c>
      <c r="O58" s="392">
        <f t="shared" si="4"/>
        <v>23253961.663913544</v>
      </c>
      <c r="P58" s="181">
        <f t="shared" si="5"/>
        <v>19826338.060131047</v>
      </c>
      <c r="Q58" s="421"/>
      <c r="R58" s="392">
        <f t="shared" si="17"/>
        <v>45724018.060131043</v>
      </c>
      <c r="S58" s="373">
        <f t="shared" si="18"/>
        <v>-5752123.9494535998</v>
      </c>
      <c r="T58" s="132">
        <f t="shared" si="19"/>
        <v>0.66287847575495751</v>
      </c>
      <c r="U58" s="181">
        <f t="shared" si="20"/>
        <v>23253961.663913548</v>
      </c>
      <c r="V58" s="134">
        <f>U58/ITA!B56*1000</f>
        <v>100.72730337270926</v>
      </c>
      <c r="W58" s="132"/>
      <c r="X58" s="392">
        <f t="shared" si="8"/>
        <v>5752123.9494535998</v>
      </c>
      <c r="Y58" s="373">
        <f t="shared" si="14"/>
        <v>51476142.009584643</v>
      </c>
      <c r="Z58" s="373">
        <f t="shared" si="9"/>
        <v>0</v>
      </c>
      <c r="AA58" s="132">
        <f t="shared" si="10"/>
        <v>0.74626920381724238</v>
      </c>
      <c r="AB58" s="181">
        <f t="shared" si="11"/>
        <v>17501837.714459948</v>
      </c>
      <c r="AC58" s="134">
        <f>AB58/ITA!B56*1000</f>
        <v>75.811293685070979</v>
      </c>
    </row>
    <row r="59" spans="1:29" x14ac:dyDescent="0.25">
      <c r="A59" s="123" t="s">
        <v>56</v>
      </c>
      <c r="B59" s="47">
        <v>1939.18</v>
      </c>
      <c r="C59" s="516">
        <v>1.8253350540279024E-3</v>
      </c>
      <c r="D59" s="379">
        <f>'Total Inst. Cost'!G57</f>
        <v>12122426.907368965</v>
      </c>
      <c r="E59" s="380">
        <f>Facilities!J67</f>
        <v>2807492.3334671962</v>
      </c>
      <c r="F59" s="381">
        <f>'District Services'!K66</f>
        <v>1197752.7527392642</v>
      </c>
      <c r="G59" s="404">
        <f t="shared" si="1"/>
        <v>16127671.993575426</v>
      </c>
      <c r="H59" s="79"/>
      <c r="I59" s="379">
        <f>'FY 19 State Pmt'!BL58</f>
        <v>9691707.6799999978</v>
      </c>
      <c r="J59" s="380">
        <f>'Prop Tax'!K57</f>
        <v>4396403.5391870914</v>
      </c>
      <c r="K59" s="540">
        <f t="shared" si="2"/>
        <v>14088111.219187088</v>
      </c>
      <c r="L59" s="422"/>
      <c r="M59" s="379">
        <f t="shared" si="15"/>
        <v>5817540</v>
      </c>
      <c r="N59" s="393">
        <f t="shared" si="16"/>
        <v>10310131.993575426</v>
      </c>
      <c r="O59" s="393">
        <f t="shared" si="4"/>
        <v>3010303.5529504954</v>
      </c>
      <c r="P59" s="180">
        <f t="shared" si="5"/>
        <v>7299828.44062493</v>
      </c>
      <c r="Q59" s="422"/>
      <c r="R59" s="393">
        <f t="shared" si="17"/>
        <v>13117368.44062493</v>
      </c>
      <c r="S59" s="374">
        <f t="shared" si="18"/>
        <v>-970742.77856215835</v>
      </c>
      <c r="T59" s="79">
        <f t="shared" si="19"/>
        <v>0.81334543794357472</v>
      </c>
      <c r="U59" s="180">
        <f t="shared" si="20"/>
        <v>3010303.5529504959</v>
      </c>
      <c r="V59" s="124">
        <f>U59/ITA!B57*1000</f>
        <v>100.72730337270924</v>
      </c>
      <c r="W59" s="79"/>
      <c r="X59" s="393">
        <f t="shared" si="8"/>
        <v>970742.77856215835</v>
      </c>
      <c r="Y59" s="374">
        <f t="shared" si="14"/>
        <v>14088111.219187088</v>
      </c>
      <c r="Z59" s="374">
        <f t="shared" si="9"/>
        <v>0</v>
      </c>
      <c r="AA59" s="79">
        <f t="shared" si="10"/>
        <v>0.87353656651742351</v>
      </c>
      <c r="AB59" s="180">
        <f t="shared" si="11"/>
        <v>2039560.7743883375</v>
      </c>
      <c r="AC59" s="124">
        <f>AB59/ITA!B57*1000</f>
        <v>68.245428826449754</v>
      </c>
    </row>
    <row r="60" spans="1:29" x14ac:dyDescent="0.25">
      <c r="A60" s="125" t="s">
        <v>57</v>
      </c>
      <c r="B60" s="126">
        <v>3124.12</v>
      </c>
      <c r="C60" s="515">
        <v>1.4094062156419617E-3</v>
      </c>
      <c r="D60" s="382">
        <f>'Total Inst. Cost'!G58</f>
        <v>20358429.357592933</v>
      </c>
      <c r="E60" s="383">
        <f>Facilities!J68</f>
        <v>4655822.5238384558</v>
      </c>
      <c r="F60" s="384">
        <f>'District Services'!K67</f>
        <v>1255816.3446834737</v>
      </c>
      <c r="G60" s="405">
        <f t="shared" si="1"/>
        <v>26270068.226114862</v>
      </c>
      <c r="H60" s="132"/>
      <c r="I60" s="382">
        <f>'FY 19 State Pmt'!BL59</f>
        <v>17959733.660000004</v>
      </c>
      <c r="J60" s="383">
        <f>'Prop Tax'!K58</f>
        <v>3873234.1607989687</v>
      </c>
      <c r="K60" s="539">
        <f t="shared" si="2"/>
        <v>21832967.820798971</v>
      </c>
      <c r="L60" s="421"/>
      <c r="M60" s="382">
        <f t="shared" si="15"/>
        <v>9372360</v>
      </c>
      <c r="N60" s="392">
        <f t="shared" si="16"/>
        <v>16897708.226114862</v>
      </c>
      <c r="O60" s="392">
        <f t="shared" si="4"/>
        <v>2324362.6035314472</v>
      </c>
      <c r="P60" s="181">
        <f t="shared" si="5"/>
        <v>14573345.622583415</v>
      </c>
      <c r="Q60" s="421"/>
      <c r="R60" s="392">
        <f t="shared" si="17"/>
        <v>23945705.622583415</v>
      </c>
      <c r="S60" s="373">
        <f t="shared" si="18"/>
        <v>2112737.8017844446</v>
      </c>
      <c r="T60" s="132">
        <f t="shared" si="19"/>
        <v>0.91152049612034058</v>
      </c>
      <c r="U60" s="181">
        <f t="shared" si="20"/>
        <v>2324362.6035314463</v>
      </c>
      <c r="V60" s="134">
        <f>U60/ITA!B58*1000</f>
        <v>100.72730337270922</v>
      </c>
      <c r="W60" s="132"/>
      <c r="X60" s="392">
        <f t="shared" si="8"/>
        <v>0</v>
      </c>
      <c r="Y60" s="373">
        <f t="shared" si="14"/>
        <v>23945705.622583415</v>
      </c>
      <c r="Z60" s="373">
        <f t="shared" si="9"/>
        <v>2112737.8017844446</v>
      </c>
      <c r="AA60" s="132">
        <f t="shared" si="10"/>
        <v>0.91152049612034058</v>
      </c>
      <c r="AB60" s="181">
        <f t="shared" si="11"/>
        <v>2324362.6035314463</v>
      </c>
      <c r="AC60" s="134">
        <f>AB60/ITA!B58*1000</f>
        <v>100.72730337270922</v>
      </c>
    </row>
    <row r="61" spans="1:29" x14ac:dyDescent="0.25">
      <c r="A61" s="123" t="s">
        <v>58</v>
      </c>
      <c r="B61" s="47">
        <v>16899.259999999998</v>
      </c>
      <c r="C61" s="516">
        <v>1.625989722691178E-2</v>
      </c>
      <c r="D61" s="379">
        <f>'Total Inst. Cost'!G59</f>
        <v>96678518.960273594</v>
      </c>
      <c r="E61" s="380">
        <f>Facilities!J69</f>
        <v>22794168.073393114</v>
      </c>
      <c r="F61" s="381">
        <f>'District Services'!K68</f>
        <v>3899728.6975525306</v>
      </c>
      <c r="G61" s="407">
        <f t="shared" si="1"/>
        <v>123372415.73121923</v>
      </c>
      <c r="H61" s="79"/>
      <c r="I61" s="379">
        <f>'FY 19 State Pmt'!BL60</f>
        <v>74309378.889999986</v>
      </c>
      <c r="J61" s="380">
        <f>'Prop Tax'!K59</f>
        <v>45732337.264372997</v>
      </c>
      <c r="K61" s="540">
        <f t="shared" si="2"/>
        <v>120041716.15437299</v>
      </c>
      <c r="L61" s="422"/>
      <c r="M61" s="379">
        <f t="shared" si="15"/>
        <v>50697779.999999993</v>
      </c>
      <c r="N61" s="393">
        <f t="shared" si="16"/>
        <v>72674635.731219232</v>
      </c>
      <c r="O61" s="393">
        <f t="shared" si="4"/>
        <v>26815474.936928608</v>
      </c>
      <c r="P61" s="180">
        <f t="shared" si="5"/>
        <v>45859160.794290625</v>
      </c>
      <c r="Q61" s="422"/>
      <c r="R61" s="393">
        <f t="shared" si="17"/>
        <v>96556940.794290617</v>
      </c>
      <c r="S61" s="374">
        <f t="shared" si="18"/>
        <v>-23484775.360082373</v>
      </c>
      <c r="T61" s="79">
        <f t="shared" si="19"/>
        <v>0.78264610627914455</v>
      </c>
      <c r="U61" s="180">
        <f t="shared" si="20"/>
        <v>26815474.936928615</v>
      </c>
      <c r="V61" s="124">
        <f>U61/ITA!B59*1000</f>
        <v>100.72730337270927</v>
      </c>
      <c r="W61" s="79"/>
      <c r="X61" s="393">
        <f t="shared" si="8"/>
        <v>23484775.360082373</v>
      </c>
      <c r="Y61" s="374">
        <f t="shared" si="14"/>
        <v>120041716.15437299</v>
      </c>
      <c r="Z61" s="374">
        <f t="shared" si="9"/>
        <v>0</v>
      </c>
      <c r="AA61" s="79">
        <f t="shared" si="10"/>
        <v>0.97300288271810653</v>
      </c>
      <c r="AB61" s="180">
        <f t="shared" si="11"/>
        <v>3330699.576846242</v>
      </c>
      <c r="AC61" s="124">
        <f>AB61/ITA!B59*1000</f>
        <v>12.511148413721601</v>
      </c>
    </row>
    <row r="62" spans="1:29" x14ac:dyDescent="0.25">
      <c r="A62" s="125" t="s">
        <v>59</v>
      </c>
      <c r="B62" s="126">
        <v>4230.8599999999997</v>
      </c>
      <c r="C62" s="515">
        <v>3.3424400149640473E-3</v>
      </c>
      <c r="D62" s="382">
        <f>'Total Inst. Cost'!G60</f>
        <v>26956286.689875893</v>
      </c>
      <c r="E62" s="383">
        <f>Facilities!J70</f>
        <v>6328538.8602237673</v>
      </c>
      <c r="F62" s="384">
        <f>'District Services'!K69</f>
        <v>1307759.7078050536</v>
      </c>
      <c r="G62" s="405">
        <f t="shared" si="1"/>
        <v>34592585.257904716</v>
      </c>
      <c r="H62" s="132"/>
      <c r="I62" s="382">
        <f>'FY 19 State Pmt'!BL61</f>
        <v>21344328.469999995</v>
      </c>
      <c r="J62" s="383">
        <f>'Prop Tax'!K60</f>
        <v>5788049.6511923019</v>
      </c>
      <c r="K62" s="539">
        <f t="shared" si="2"/>
        <v>27132378.121192299</v>
      </c>
      <c r="L62" s="421"/>
      <c r="M62" s="382">
        <f t="shared" si="15"/>
        <v>12692579.999999998</v>
      </c>
      <c r="N62" s="392">
        <f t="shared" si="16"/>
        <v>21900005.257904716</v>
      </c>
      <c r="O62" s="392">
        <f t="shared" si="4"/>
        <v>5512280.6250651088</v>
      </c>
      <c r="P62" s="181">
        <f t="shared" si="5"/>
        <v>16387724.632839607</v>
      </c>
      <c r="Q62" s="421"/>
      <c r="R62" s="392">
        <f t="shared" si="17"/>
        <v>29080304.632839605</v>
      </c>
      <c r="S62" s="373">
        <f t="shared" si="18"/>
        <v>1947926.5116473064</v>
      </c>
      <c r="T62" s="132">
        <f t="shared" si="19"/>
        <v>0.84065138283339191</v>
      </c>
      <c r="U62" s="181">
        <f t="shared" si="20"/>
        <v>5512280.6250651106</v>
      </c>
      <c r="V62" s="134">
        <f>U62/ITA!B60*1000</f>
        <v>100.72730337270929</v>
      </c>
      <c r="W62" s="132"/>
      <c r="X62" s="392">
        <f t="shared" si="8"/>
        <v>0</v>
      </c>
      <c r="Y62" s="373">
        <f t="shared" si="14"/>
        <v>29080304.632839605</v>
      </c>
      <c r="Z62" s="373">
        <f t="shared" si="9"/>
        <v>1947926.5116473064</v>
      </c>
      <c r="AA62" s="132">
        <f t="shared" si="10"/>
        <v>0.84065138283339191</v>
      </c>
      <c r="AB62" s="181">
        <f t="shared" si="11"/>
        <v>5512280.6250651106</v>
      </c>
      <c r="AC62" s="134">
        <f>AB62/ITA!B60*1000</f>
        <v>100.72730337270929</v>
      </c>
    </row>
    <row r="63" spans="1:29" x14ac:dyDescent="0.25">
      <c r="A63" s="123" t="s">
        <v>60</v>
      </c>
      <c r="B63" s="47">
        <v>3684.37</v>
      </c>
      <c r="C63" s="516">
        <v>3.4378982065055635E-3</v>
      </c>
      <c r="D63" s="379">
        <f>'Total Inst. Cost'!G61</f>
        <v>23031937.931125272</v>
      </c>
      <c r="E63" s="380">
        <f>Facilities!J71</f>
        <v>5386654.6249611219</v>
      </c>
      <c r="F63" s="381">
        <f>'District Services'!K70</f>
        <v>1277164.8946310354</v>
      </c>
      <c r="G63" s="404">
        <f t="shared" si="1"/>
        <v>29695757.450717431</v>
      </c>
      <c r="H63" s="79"/>
      <c r="I63" s="379">
        <f>'FY 19 State Pmt'!BL62</f>
        <v>18962094.889999997</v>
      </c>
      <c r="J63" s="380">
        <f>'Prop Tax'!K61</f>
        <v>5435809.0912967287</v>
      </c>
      <c r="K63" s="540">
        <f t="shared" si="2"/>
        <v>24397903.981296726</v>
      </c>
      <c r="L63" s="422"/>
      <c r="M63" s="379">
        <f t="shared" si="15"/>
        <v>11053110</v>
      </c>
      <c r="N63" s="393">
        <f t="shared" si="16"/>
        <v>18642647.450717431</v>
      </c>
      <c r="O63" s="393">
        <f t="shared" si="4"/>
        <v>5669708.2340520462</v>
      </c>
      <c r="P63" s="180">
        <f t="shared" si="5"/>
        <v>12972939.216665383</v>
      </c>
      <c r="Q63" s="422"/>
      <c r="R63" s="393">
        <f t="shared" si="17"/>
        <v>24026049.216665383</v>
      </c>
      <c r="S63" s="374">
        <f t="shared" si="18"/>
        <v>-371854.76463134214</v>
      </c>
      <c r="T63" s="79">
        <f t="shared" si="19"/>
        <v>0.80907345961922683</v>
      </c>
      <c r="U63" s="180">
        <f t="shared" si="20"/>
        <v>5669708.2340520471</v>
      </c>
      <c r="V63" s="124">
        <f>U63/ITA!B61*1000</f>
        <v>100.72730337270926</v>
      </c>
      <c r="W63" s="79"/>
      <c r="X63" s="393">
        <f t="shared" si="8"/>
        <v>371854.76463134214</v>
      </c>
      <c r="Y63" s="374">
        <f t="shared" si="14"/>
        <v>24397903.981296726</v>
      </c>
      <c r="Z63" s="374">
        <f t="shared" si="9"/>
        <v>0</v>
      </c>
      <c r="AA63" s="79">
        <f t="shared" si="10"/>
        <v>0.82159561081366816</v>
      </c>
      <c r="AB63" s="180">
        <f t="shared" si="11"/>
        <v>5297853.469420705</v>
      </c>
      <c r="AC63" s="124">
        <f>AB63/ITA!B61*1000</f>
        <v>94.120979706413735</v>
      </c>
    </row>
    <row r="64" spans="1:29" x14ac:dyDescent="0.25">
      <c r="A64" s="125" t="s">
        <v>61</v>
      </c>
      <c r="B64" s="126">
        <v>665.85</v>
      </c>
      <c r="C64" s="515">
        <v>1.6201801580265024E-3</v>
      </c>
      <c r="D64" s="382">
        <f>'Total Inst. Cost'!G62</f>
        <v>4237023.9889165387</v>
      </c>
      <c r="E64" s="383">
        <f>Facilities!J72</f>
        <v>986408.55212152505</v>
      </c>
      <c r="F64" s="384">
        <f>'District Services'!K71</f>
        <v>1142403.0222093277</v>
      </c>
      <c r="G64" s="405">
        <f t="shared" si="1"/>
        <v>6365835.563247391</v>
      </c>
      <c r="H64" s="132"/>
      <c r="I64" s="382">
        <f>'FY 19 State Pmt'!BL63</f>
        <v>2392552.8900000006</v>
      </c>
      <c r="J64" s="383">
        <f>'Prop Tax'!K62</f>
        <v>3296376.9250261942</v>
      </c>
      <c r="K64" s="539">
        <f t="shared" si="2"/>
        <v>5688929.8150261948</v>
      </c>
      <c r="L64" s="421"/>
      <c r="M64" s="382">
        <f t="shared" si="15"/>
        <v>1997550</v>
      </c>
      <c r="N64" s="392">
        <f t="shared" si="16"/>
        <v>4368285.563247391</v>
      </c>
      <c r="O64" s="392">
        <f t="shared" si="4"/>
        <v>2671966.4838324641</v>
      </c>
      <c r="P64" s="181">
        <f t="shared" si="5"/>
        <v>1696319.0794149269</v>
      </c>
      <c r="Q64" s="421"/>
      <c r="R64" s="392">
        <f t="shared" si="17"/>
        <v>3693869.0794149269</v>
      </c>
      <c r="S64" s="373">
        <f t="shared" si="18"/>
        <v>-1995060.7356112679</v>
      </c>
      <c r="T64" s="132">
        <f t="shared" si="19"/>
        <v>0.58026460826936299</v>
      </c>
      <c r="U64" s="181">
        <f t="shared" si="20"/>
        <v>2671966.4838324641</v>
      </c>
      <c r="V64" s="134">
        <f>U64/ITA!B62*1000</f>
        <v>100.72730337270923</v>
      </c>
      <c r="W64" s="132"/>
      <c r="X64" s="392">
        <f t="shared" si="8"/>
        <v>1995060.7356112679</v>
      </c>
      <c r="Y64" s="373">
        <f t="shared" si="14"/>
        <v>5688929.8150261948</v>
      </c>
      <c r="Z64" s="373">
        <f t="shared" si="9"/>
        <v>0</v>
      </c>
      <c r="AA64" s="132">
        <f t="shared" si="10"/>
        <v>0.89366584457046705</v>
      </c>
      <c r="AB64" s="181">
        <f t="shared" si="11"/>
        <v>676905.74822119623</v>
      </c>
      <c r="AC64" s="134">
        <f>AB64/ITA!B62*1000</f>
        <v>25.517868980905348</v>
      </c>
    </row>
    <row r="65" spans="1:29" x14ac:dyDescent="0.25">
      <c r="A65" s="123" t="s">
        <v>62</v>
      </c>
      <c r="B65" s="47">
        <v>5751.42</v>
      </c>
      <c r="C65" s="516">
        <v>6.382763525753247E-3</v>
      </c>
      <c r="D65" s="379">
        <f>'Total Inst. Cost'!G63</f>
        <v>35393010.819653735</v>
      </c>
      <c r="E65" s="380">
        <f>Facilities!J73</f>
        <v>8190267.411438548</v>
      </c>
      <c r="F65" s="381">
        <f>'District Services'!K72</f>
        <v>1360504.364746399</v>
      </c>
      <c r="G65" s="406">
        <f t="shared" si="1"/>
        <v>44943782.595838681</v>
      </c>
      <c r="H65" s="79"/>
      <c r="I65" s="379">
        <f>'FY 19 State Pmt'!BL64</f>
        <v>26858974.979999997</v>
      </c>
      <c r="J65" s="380">
        <f>'Prop Tax'!K63</f>
        <v>10074318.971803756</v>
      </c>
      <c r="K65" s="540">
        <f t="shared" si="2"/>
        <v>36933293.951803751</v>
      </c>
      <c r="L65" s="422"/>
      <c r="M65" s="379">
        <f t="shared" si="15"/>
        <v>17254260</v>
      </c>
      <c r="N65" s="393">
        <f t="shared" si="16"/>
        <v>27689522.595838681</v>
      </c>
      <c r="O65" s="393">
        <f t="shared" si="4"/>
        <v>10526317.169452729</v>
      </c>
      <c r="P65" s="180">
        <f t="shared" si="5"/>
        <v>17163205.426385954</v>
      </c>
      <c r="Q65" s="422"/>
      <c r="R65" s="393">
        <f t="shared" si="17"/>
        <v>34417465.426385954</v>
      </c>
      <c r="S65" s="374">
        <f t="shared" si="18"/>
        <v>-2515828.5254177973</v>
      </c>
      <c r="T65" s="79">
        <f t="shared" si="19"/>
        <v>0.7657892468884594</v>
      </c>
      <c r="U65" s="180">
        <f t="shared" si="20"/>
        <v>10526317.169452727</v>
      </c>
      <c r="V65" s="124">
        <f>U65/ITA!B63*1000</f>
        <v>100.72730337270923</v>
      </c>
      <c r="W65" s="79"/>
      <c r="X65" s="393">
        <f t="shared" si="8"/>
        <v>2515828.5254177973</v>
      </c>
      <c r="Y65" s="374">
        <f t="shared" si="14"/>
        <v>36933293.951803751</v>
      </c>
      <c r="Z65" s="374">
        <f t="shared" si="9"/>
        <v>0</v>
      </c>
      <c r="AA65" s="79">
        <f t="shared" si="10"/>
        <v>0.82176647844552775</v>
      </c>
      <c r="AB65" s="180">
        <f t="shared" si="11"/>
        <v>8010488.6440349296</v>
      </c>
      <c r="AC65" s="124">
        <f>AB65/ITA!B63*1000</f>
        <v>76.65310733300835</v>
      </c>
    </row>
    <row r="66" spans="1:29" x14ac:dyDescent="0.25">
      <c r="A66" s="125" t="s">
        <v>63</v>
      </c>
      <c r="B66" s="126">
        <v>10099.5</v>
      </c>
      <c r="C66" s="515">
        <v>2.5744017909298453E-2</v>
      </c>
      <c r="D66" s="382">
        <f>'Total Inst. Cost'!G64</f>
        <v>62305314.79242982</v>
      </c>
      <c r="E66" s="383">
        <f>Facilities!J74</f>
        <v>14605094.086315569</v>
      </c>
      <c r="F66" s="384">
        <f>'District Services'!K73</f>
        <v>2915466.4729883629</v>
      </c>
      <c r="G66" s="405">
        <f t="shared" si="1"/>
        <v>79825875.351733759</v>
      </c>
      <c r="H66" s="132"/>
      <c r="I66" s="382">
        <f>'FY 19 State Pmt'!BL65</f>
        <v>32109779.140000008</v>
      </c>
      <c r="J66" s="383">
        <f>'Prop Tax'!K64</f>
        <v>18802266.000316631</v>
      </c>
      <c r="K66" s="539">
        <f t="shared" si="2"/>
        <v>50912045.140316635</v>
      </c>
      <c r="L66" s="421"/>
      <c r="M66" s="382">
        <f t="shared" si="15"/>
        <v>30298500</v>
      </c>
      <c r="N66" s="392">
        <f t="shared" si="16"/>
        <v>49527375.351733759</v>
      </c>
      <c r="O66" s="392">
        <f t="shared" si="4"/>
        <v>42456484.034847058</v>
      </c>
      <c r="P66" s="181">
        <f t="shared" si="5"/>
        <v>7070891.3168867007</v>
      </c>
      <c r="Q66" s="421"/>
      <c r="R66" s="392">
        <f t="shared" si="17"/>
        <v>37369391.316886701</v>
      </c>
      <c r="S66" s="373">
        <f t="shared" si="18"/>
        <v>-13542653.823429935</v>
      </c>
      <c r="T66" s="132">
        <f t="shared" si="19"/>
        <v>0.46813631735608729</v>
      </c>
      <c r="U66" s="181">
        <f t="shared" si="20"/>
        <v>42456484.034847058</v>
      </c>
      <c r="V66" s="134">
        <f>U66/ITA!B64*1000</f>
        <v>100.72730337270924</v>
      </c>
      <c r="W66" s="132"/>
      <c r="X66" s="392">
        <f t="shared" si="8"/>
        <v>13542653.823429935</v>
      </c>
      <c r="Y66" s="373">
        <f t="shared" si="14"/>
        <v>50912045.140316635</v>
      </c>
      <c r="Z66" s="373">
        <f t="shared" si="9"/>
        <v>0</v>
      </c>
      <c r="AA66" s="132">
        <f t="shared" si="10"/>
        <v>0.63778874852276657</v>
      </c>
      <c r="AB66" s="181">
        <f t="shared" si="11"/>
        <v>28913830.211417124</v>
      </c>
      <c r="AC66" s="134">
        <f>AB66/ITA!B64*1000</f>
        <v>68.597582055593548</v>
      </c>
    </row>
    <row r="67" spans="1:29" x14ac:dyDescent="0.25">
      <c r="A67" s="123" t="s">
        <v>64</v>
      </c>
      <c r="B67" s="47">
        <v>2483.25</v>
      </c>
      <c r="C67" s="516">
        <v>3.289874974835186E-3</v>
      </c>
      <c r="D67" s="379">
        <f>'Total Inst. Cost'!G65</f>
        <v>15750801.596492043</v>
      </c>
      <c r="E67" s="380">
        <f>Facilities!J75</f>
        <v>3656802.5590545102</v>
      </c>
      <c r="F67" s="381">
        <f>'District Services'!K74</f>
        <v>1224440.274867411</v>
      </c>
      <c r="G67" s="404">
        <f t="shared" si="1"/>
        <v>20632044.430413965</v>
      </c>
      <c r="H67" s="79"/>
      <c r="I67" s="379">
        <f>'FY 19 State Pmt'!BL66</f>
        <v>12174890.289999997</v>
      </c>
      <c r="J67" s="380">
        <f>'Prop Tax'!K65</f>
        <v>4903116.9740747465</v>
      </c>
      <c r="K67" s="540">
        <f t="shared" si="2"/>
        <v>17078007.264074743</v>
      </c>
      <c r="L67" s="422"/>
      <c r="M67" s="379">
        <f t="shared" si="15"/>
        <v>7449750</v>
      </c>
      <c r="N67" s="393">
        <f t="shared" si="16"/>
        <v>13182294.430413965</v>
      </c>
      <c r="O67" s="393">
        <f t="shared" si="4"/>
        <v>5425591.4845088469</v>
      </c>
      <c r="P67" s="180">
        <f t="shared" si="5"/>
        <v>7756702.9459051182</v>
      </c>
      <c r="Q67" s="422"/>
      <c r="R67" s="393">
        <f t="shared" si="17"/>
        <v>15206452.945905119</v>
      </c>
      <c r="S67" s="374">
        <f t="shared" si="18"/>
        <v>-1871554.3181696236</v>
      </c>
      <c r="T67" s="79">
        <f t="shared" si="19"/>
        <v>0.73703083556223292</v>
      </c>
      <c r="U67" s="180">
        <f t="shared" si="20"/>
        <v>5425591.484508846</v>
      </c>
      <c r="V67" s="124">
        <f>U67/ITA!B65*1000</f>
        <v>100.72730337270923</v>
      </c>
      <c r="W67" s="79"/>
      <c r="X67" s="393">
        <f t="shared" si="8"/>
        <v>1871554.3181696236</v>
      </c>
      <c r="Y67" s="374">
        <f t="shared" si="14"/>
        <v>17078007.264074743</v>
      </c>
      <c r="Z67" s="374">
        <f t="shared" si="9"/>
        <v>0</v>
      </c>
      <c r="AA67" s="79">
        <f t="shared" si="10"/>
        <v>0.82774188092091494</v>
      </c>
      <c r="AB67" s="180">
        <f t="shared" si="11"/>
        <v>3554037.1663392223</v>
      </c>
      <c r="AC67" s="124">
        <f>AB67/ITA!B65*1000</f>
        <v>65.981484391861059</v>
      </c>
    </row>
    <row r="68" spans="1:29" x14ac:dyDescent="0.25">
      <c r="A68" s="125" t="s">
        <v>65</v>
      </c>
      <c r="B68" s="126">
        <v>3390.2</v>
      </c>
      <c r="C68" s="515">
        <v>3.6676308342297138E-3</v>
      </c>
      <c r="D68" s="382">
        <f>'Total Inst. Cost'!G66</f>
        <v>20594441.994047031</v>
      </c>
      <c r="E68" s="383">
        <f>Facilities!J76</f>
        <v>4837701.7710386161</v>
      </c>
      <c r="F68" s="384">
        <f>'District Services'!K75</f>
        <v>1258906.3420880197</v>
      </c>
      <c r="G68" s="405">
        <f t="shared" si="1"/>
        <v>26691050.107173666</v>
      </c>
      <c r="H68" s="132"/>
      <c r="I68" s="382">
        <f>'FY 19 State Pmt'!BL67</f>
        <v>16215838.600000003</v>
      </c>
      <c r="J68" s="383">
        <f>'Prop Tax'!K66</f>
        <v>3406975.4480954232</v>
      </c>
      <c r="K68" s="539">
        <f t="shared" si="2"/>
        <v>19622814.048095427</v>
      </c>
      <c r="L68" s="421"/>
      <c r="M68" s="382">
        <f t="shared" si="15"/>
        <v>10170600</v>
      </c>
      <c r="N68" s="392">
        <f t="shared" si="16"/>
        <v>16520450.107173666</v>
      </c>
      <c r="O68" s="392">
        <f t="shared" si="4"/>
        <v>6048578.3729564687</v>
      </c>
      <c r="P68" s="181">
        <f t="shared" si="5"/>
        <v>10471871.734217197</v>
      </c>
      <c r="Q68" s="421"/>
      <c r="R68" s="392">
        <f t="shared" si="17"/>
        <v>20642471.734217197</v>
      </c>
      <c r="S68" s="373">
        <f t="shared" si="18"/>
        <v>1019657.6861217692</v>
      </c>
      <c r="T68" s="132">
        <f t="shared" si="19"/>
        <v>0.77338552253772841</v>
      </c>
      <c r="U68" s="181">
        <f t="shared" si="20"/>
        <v>6048578.3729564697</v>
      </c>
      <c r="V68" s="134">
        <f>U68/ITA!B66*1000</f>
        <v>100.72730337270926</v>
      </c>
      <c r="W68" s="132"/>
      <c r="X68" s="392">
        <f t="shared" si="8"/>
        <v>0</v>
      </c>
      <c r="Y68" s="373">
        <f t="shared" si="14"/>
        <v>20642471.734217197</v>
      </c>
      <c r="Z68" s="373">
        <f t="shared" si="9"/>
        <v>1019657.6861217692</v>
      </c>
      <c r="AA68" s="132">
        <f t="shared" si="10"/>
        <v>0.77338552253772841</v>
      </c>
      <c r="AB68" s="181">
        <f t="shared" si="11"/>
        <v>6048578.3729564697</v>
      </c>
      <c r="AC68" s="134">
        <f>AB68/ITA!B66*1000</f>
        <v>100.72730337270926</v>
      </c>
    </row>
    <row r="69" spans="1:29" x14ac:dyDescent="0.25">
      <c r="A69" s="123" t="s">
        <v>66</v>
      </c>
      <c r="B69" s="47">
        <v>6118.74</v>
      </c>
      <c r="C69" s="516">
        <v>8.3599765802466128E-3</v>
      </c>
      <c r="D69" s="379">
        <f>'Total Inst. Cost'!G67</f>
        <v>37676667.74248448</v>
      </c>
      <c r="E69" s="380">
        <f>Facilities!J77</f>
        <v>8851616.5379096959</v>
      </c>
      <c r="F69" s="381">
        <f>'District Services'!K76</f>
        <v>1533116.946011815</v>
      </c>
      <c r="G69" s="406">
        <f t="shared" si="1"/>
        <v>48061401.226405986</v>
      </c>
      <c r="H69" s="79"/>
      <c r="I69" s="379">
        <f>'FY 19 State Pmt'!BL68</f>
        <v>28050287.960000005</v>
      </c>
      <c r="J69" s="380">
        <f>'Prop Tax'!K67</f>
        <v>11946074.83254648</v>
      </c>
      <c r="K69" s="540">
        <f t="shared" si="2"/>
        <v>39996362.792546481</v>
      </c>
      <c r="L69" s="422"/>
      <c r="M69" s="379">
        <f t="shared" si="15"/>
        <v>18356220</v>
      </c>
      <c r="N69" s="393">
        <f t="shared" si="16"/>
        <v>29705181.226405986</v>
      </c>
      <c r="O69" s="393">
        <f t="shared" si="4"/>
        <v>13787094.674244184</v>
      </c>
      <c r="P69" s="180">
        <f t="shared" si="5"/>
        <v>15918086.552161802</v>
      </c>
      <c r="Q69" s="422"/>
      <c r="R69" s="393">
        <f t="shared" si="17"/>
        <v>34274306.552161798</v>
      </c>
      <c r="S69" s="374">
        <f t="shared" si="18"/>
        <v>-5722056.240384683</v>
      </c>
      <c r="T69" s="79">
        <f t="shared" si="19"/>
        <v>0.71313581538548121</v>
      </c>
      <c r="U69" s="180">
        <f t="shared" si="20"/>
        <v>13787094.674244188</v>
      </c>
      <c r="V69" s="124">
        <f>U69/ITA!B67*1000</f>
        <v>100.72730337270926</v>
      </c>
      <c r="W69" s="79"/>
      <c r="X69" s="393">
        <f t="shared" si="8"/>
        <v>5722056.240384683</v>
      </c>
      <c r="Y69" s="374">
        <f t="shared" si="14"/>
        <v>39996362.792546481</v>
      </c>
      <c r="Z69" s="374">
        <f t="shared" si="9"/>
        <v>0</v>
      </c>
      <c r="AA69" s="79">
        <f t="shared" si="10"/>
        <v>0.83219302333972744</v>
      </c>
      <c r="AB69" s="180">
        <f t="shared" si="11"/>
        <v>8065038.4338595048</v>
      </c>
      <c r="AC69" s="124">
        <f>AB69/ITA!B67*1000</f>
        <v>58.92246279830966</v>
      </c>
    </row>
    <row r="70" spans="1:29" x14ac:dyDescent="0.25">
      <c r="A70" s="125" t="s">
        <v>67</v>
      </c>
      <c r="B70" s="126">
        <v>15618.17</v>
      </c>
      <c r="C70" s="515">
        <v>1.8679451612254167E-2</v>
      </c>
      <c r="D70" s="382">
        <f>'Total Inst. Cost'!G68</f>
        <v>91978010.13056688</v>
      </c>
      <c r="E70" s="383">
        <f>Facilities!J78</f>
        <v>21631567.952527069</v>
      </c>
      <c r="F70" s="384">
        <f>'District Services'!K77</f>
        <v>3872610.0483937324</v>
      </c>
      <c r="G70" s="405">
        <f t="shared" si="1"/>
        <v>117482188.13148767</v>
      </c>
      <c r="H70" s="132"/>
      <c r="I70" s="382">
        <f>'FY 19 State Pmt'!BL69</f>
        <v>64731147.499999993</v>
      </c>
      <c r="J70" s="383">
        <f>'Prop Tax'!K68</f>
        <v>22901317.521250933</v>
      </c>
      <c r="K70" s="539">
        <f t="shared" si="2"/>
        <v>87632465.021250933</v>
      </c>
      <c r="L70" s="421"/>
      <c r="M70" s="382">
        <f t="shared" si="15"/>
        <v>46854510</v>
      </c>
      <c r="N70" s="392">
        <f t="shared" si="16"/>
        <v>70627678.131487668</v>
      </c>
      <c r="O70" s="392">
        <f t="shared" si="4"/>
        <v>30805752.309118822</v>
      </c>
      <c r="P70" s="181">
        <f t="shared" si="5"/>
        <v>39821925.822368845</v>
      </c>
      <c r="Q70" s="421"/>
      <c r="R70" s="392">
        <f t="shared" si="17"/>
        <v>86676435.822368845</v>
      </c>
      <c r="S70" s="373">
        <f t="shared" si="18"/>
        <v>-956029.19888208807</v>
      </c>
      <c r="T70" s="132">
        <f t="shared" si="19"/>
        <v>0.73778363512738965</v>
      </c>
      <c r="U70" s="181">
        <f t="shared" si="20"/>
        <v>30805752.309118822</v>
      </c>
      <c r="V70" s="134">
        <f>U70/ITA!B68*1000</f>
        <v>100.72730337270926</v>
      </c>
      <c r="W70" s="132"/>
      <c r="X70" s="392">
        <f t="shared" si="8"/>
        <v>956029.19888208807</v>
      </c>
      <c r="Y70" s="373">
        <f t="shared" si="14"/>
        <v>87632465.021250933</v>
      </c>
      <c r="Z70" s="373">
        <f t="shared" si="9"/>
        <v>0</v>
      </c>
      <c r="AA70" s="132">
        <f t="shared" si="10"/>
        <v>0.74592128743100594</v>
      </c>
      <c r="AB70" s="181">
        <f t="shared" si="11"/>
        <v>29849723.110236734</v>
      </c>
      <c r="AC70" s="134">
        <f>AB70/ITA!B68*1000</f>
        <v>97.60132085546168</v>
      </c>
    </row>
    <row r="71" spans="1:29" x14ac:dyDescent="0.25">
      <c r="A71" s="123" t="s">
        <v>68</v>
      </c>
      <c r="B71" s="47">
        <v>22502.1</v>
      </c>
      <c r="C71" s="516">
        <v>3.8279486424848096E-2</v>
      </c>
      <c r="D71" s="379">
        <f>'Total Inst. Cost'!G69</f>
        <v>138654029.90113798</v>
      </c>
      <c r="E71" s="380">
        <f>Facilities!J79</f>
        <v>32271398.274873096</v>
      </c>
      <c r="F71" s="381">
        <f>'District Services'!K78</f>
        <v>4205746.9713399913</v>
      </c>
      <c r="G71" s="404">
        <f t="shared" si="1"/>
        <v>175131175.14735109</v>
      </c>
      <c r="H71" s="79"/>
      <c r="I71" s="379">
        <f>'FY 19 State Pmt'!BL70</f>
        <v>94439163.089999989</v>
      </c>
      <c r="J71" s="380">
        <f>'Prop Tax'!K69</f>
        <v>59859178.193128958</v>
      </c>
      <c r="K71" s="540">
        <f t="shared" si="2"/>
        <v>154298341.28312895</v>
      </c>
      <c r="L71" s="422"/>
      <c r="M71" s="379">
        <f t="shared" ref="M71:M88" si="21">$M$6*B71</f>
        <v>67506300</v>
      </c>
      <c r="N71" s="393">
        <f t="shared" ref="N71:N88" si="22">G71-M71</f>
        <v>107624875.14735109</v>
      </c>
      <c r="O71" s="393">
        <f t="shared" si="4"/>
        <v>63129710.753957294</v>
      </c>
      <c r="P71" s="180">
        <f t="shared" si="5"/>
        <v>44495164.393393792</v>
      </c>
      <c r="Q71" s="422"/>
      <c r="R71" s="393">
        <f t="shared" ref="R71:R88" si="23">P71+M71</f>
        <v>112001464.39339378</v>
      </c>
      <c r="S71" s="374">
        <f t="shared" ref="S71:S87" si="24">R71-K71</f>
        <v>-42296876.889735162</v>
      </c>
      <c r="T71" s="79">
        <f t="shared" ref="T71:T88" si="25">R71/G71</f>
        <v>0.63952899476154657</v>
      </c>
      <c r="U71" s="180">
        <f t="shared" ref="U71:U87" si="26">G71-R71</f>
        <v>63129710.753957301</v>
      </c>
      <c r="V71" s="124">
        <f>U71/ITA!B69*1000</f>
        <v>100.72730337270926</v>
      </c>
      <c r="W71" s="79"/>
      <c r="X71" s="393">
        <f t="shared" si="8"/>
        <v>42296876.889735162</v>
      </c>
      <c r="Y71" s="374">
        <f t="shared" si="14"/>
        <v>154298341.28312895</v>
      </c>
      <c r="Z71" s="374">
        <f t="shared" si="9"/>
        <v>0</v>
      </c>
      <c r="AA71" s="79">
        <f t="shared" si="10"/>
        <v>0.88104440088011804</v>
      </c>
      <c r="AB71" s="180">
        <f t="shared" si="11"/>
        <v>20832833.864222139</v>
      </c>
      <c r="AC71" s="124">
        <f>AB71/ITA!B69*1000</f>
        <v>33.240056887528404</v>
      </c>
    </row>
    <row r="72" spans="1:29" x14ac:dyDescent="0.25">
      <c r="A72" s="125" t="s">
        <v>69</v>
      </c>
      <c r="B72" s="126">
        <v>27586.57</v>
      </c>
      <c r="C72" s="515">
        <v>1.8937980333395193E-2</v>
      </c>
      <c r="D72" s="382">
        <f>'Total Inst. Cost'!G70</f>
        <v>160070963.90505502</v>
      </c>
      <c r="E72" s="383">
        <f>Facilities!J80</f>
        <v>37843261.77313</v>
      </c>
      <c r="F72" s="384">
        <f>'District Services'!K79</f>
        <v>4354236.8594544223</v>
      </c>
      <c r="G72" s="405">
        <f t="shared" ref="G72:G87" si="27">SUM(D72:F72)</f>
        <v>202268462.53763944</v>
      </c>
      <c r="H72" s="132"/>
      <c r="I72" s="382">
        <f>'FY 19 State Pmt'!BL71</f>
        <v>131416739.18999998</v>
      </c>
      <c r="J72" s="383">
        <f>'Prop Tax'!K70</f>
        <v>53590007.718857341</v>
      </c>
      <c r="K72" s="539">
        <f t="shared" ref="K72:K87" si="28">I72+J72</f>
        <v>185006746.90885732</v>
      </c>
      <c r="L72" s="421"/>
      <c r="M72" s="382">
        <f t="shared" si="21"/>
        <v>82759710</v>
      </c>
      <c r="N72" s="392">
        <f t="shared" si="22"/>
        <v>119508752.53763944</v>
      </c>
      <c r="O72" s="392">
        <f t="shared" ref="O72:O87" si="29">MIN(($N$88)*$O$6*C72,N72)</f>
        <v>31232112.349744372</v>
      </c>
      <c r="P72" s="181">
        <f t="shared" ref="P72:P87" si="30">N72-O72</f>
        <v>88276640.18789506</v>
      </c>
      <c r="Q72" s="421"/>
      <c r="R72" s="392">
        <f t="shared" si="23"/>
        <v>171036350.18789506</v>
      </c>
      <c r="S72" s="373">
        <f t="shared" si="24"/>
        <v>-13970396.720962256</v>
      </c>
      <c r="T72" s="132">
        <f t="shared" si="25"/>
        <v>0.84559079572806606</v>
      </c>
      <c r="U72" s="181">
        <f t="shared" si="26"/>
        <v>31232112.34974438</v>
      </c>
      <c r="V72" s="134">
        <f>U72/ITA!B70*1000</f>
        <v>100.72730337270926</v>
      </c>
      <c r="W72" s="132"/>
      <c r="X72" s="392">
        <f t="shared" ref="X72:X87" si="31">IF(S72&lt;0,K72-R72,0)</f>
        <v>13970396.720962256</v>
      </c>
      <c r="Y72" s="373">
        <f t="shared" ref="Y72:Y87" si="32">X72+R72</f>
        <v>185006746.90885732</v>
      </c>
      <c r="Z72" s="373">
        <f t="shared" ref="Z72:Z87" si="33">Y72-K72</f>
        <v>0</v>
      </c>
      <c r="AA72" s="132">
        <f t="shared" ref="AA72:AA86" si="34">Y72/G72</f>
        <v>0.91465938183235085</v>
      </c>
      <c r="AB72" s="181">
        <f t="shared" ref="AB72:AB87" si="35">G72-Y72</f>
        <v>17261715.628782123</v>
      </c>
      <c r="AC72" s="134">
        <f>AB72/ITA!B70*1000</f>
        <v>55.671100545589724</v>
      </c>
    </row>
    <row r="73" spans="1:29" x14ac:dyDescent="0.25">
      <c r="A73" s="123" t="s">
        <v>70</v>
      </c>
      <c r="B73" s="47">
        <v>2197.3200000000002</v>
      </c>
      <c r="C73" s="516">
        <v>1.9884838235910748E-3</v>
      </c>
      <c r="D73" s="379">
        <f>'Total Inst. Cost'!G71</f>
        <v>14115630.830331624</v>
      </c>
      <c r="E73" s="380">
        <f>Facilities!J81</f>
        <v>3220078.7748957039</v>
      </c>
      <c r="F73" s="381">
        <f>'District Services'!K80</f>
        <v>1210825.467771299</v>
      </c>
      <c r="G73" s="406">
        <f t="shared" si="27"/>
        <v>18546535.072998628</v>
      </c>
      <c r="H73" s="79"/>
      <c r="I73" s="379">
        <f>'FY 19 State Pmt'!BL72</f>
        <v>11322676.370000001</v>
      </c>
      <c r="J73" s="380">
        <f>'Prop Tax'!K71</f>
        <v>3432164.1648954973</v>
      </c>
      <c r="K73" s="540">
        <f t="shared" si="28"/>
        <v>14754840.534895498</v>
      </c>
      <c r="L73" s="422"/>
      <c r="M73" s="379">
        <f t="shared" si="21"/>
        <v>6591960.0000000009</v>
      </c>
      <c r="N73" s="393">
        <f t="shared" si="22"/>
        <v>11954575.072998628</v>
      </c>
      <c r="O73" s="393">
        <f t="shared" si="29"/>
        <v>3279365.0162647329</v>
      </c>
      <c r="P73" s="180">
        <f t="shared" si="30"/>
        <v>8675210.0567338951</v>
      </c>
      <c r="Q73" s="422"/>
      <c r="R73" s="393">
        <f t="shared" si="23"/>
        <v>15267170.056733895</v>
      </c>
      <c r="S73" s="374">
        <f t="shared" si="24"/>
        <v>512329.52183839679</v>
      </c>
      <c r="T73" s="79">
        <f t="shared" si="25"/>
        <v>0.82318179631088795</v>
      </c>
      <c r="U73" s="180">
        <f t="shared" si="26"/>
        <v>3279365.0162647329</v>
      </c>
      <c r="V73" s="124">
        <f>U73/ITA!B71*1000</f>
        <v>100.72730337270924</v>
      </c>
      <c r="W73" s="79"/>
      <c r="X73" s="393">
        <f t="shared" si="31"/>
        <v>0</v>
      </c>
      <c r="Y73" s="374">
        <f t="shared" si="32"/>
        <v>15267170.056733895</v>
      </c>
      <c r="Z73" s="374">
        <f t="shared" si="33"/>
        <v>512329.52183839679</v>
      </c>
      <c r="AA73" s="79">
        <f t="shared" si="34"/>
        <v>0.82318179631088795</v>
      </c>
      <c r="AB73" s="180">
        <f t="shared" si="35"/>
        <v>3279365.0162647329</v>
      </c>
      <c r="AC73" s="124">
        <f>AB73/ITA!B71*1000</f>
        <v>100.72730337270924</v>
      </c>
    </row>
    <row r="74" spans="1:29" x14ac:dyDescent="0.25">
      <c r="A74" s="125" t="s">
        <v>71</v>
      </c>
      <c r="B74" s="126">
        <v>4904.8</v>
      </c>
      <c r="C74" s="515">
        <v>3.2904090954301987E-3</v>
      </c>
      <c r="D74" s="382">
        <f>'Total Inst. Cost'!G72</f>
        <v>28507579.743300911</v>
      </c>
      <c r="E74" s="383">
        <f>Facilities!J82</f>
        <v>6697040.8070405433</v>
      </c>
      <c r="F74" s="384">
        <f>'District Services'!K81</f>
        <v>1311653.6540530578</v>
      </c>
      <c r="G74" s="405">
        <f t="shared" si="27"/>
        <v>36516274.204394512</v>
      </c>
      <c r="H74" s="132"/>
      <c r="I74" s="382">
        <f>'FY 19 State Pmt'!BL73</f>
        <v>22728219.179999996</v>
      </c>
      <c r="J74" s="383">
        <f>'Prop Tax'!K72</f>
        <v>11292735.187522516</v>
      </c>
      <c r="K74" s="539">
        <f t="shared" si="28"/>
        <v>34020954.367522508</v>
      </c>
      <c r="L74" s="421"/>
      <c r="M74" s="382">
        <f t="shared" si="21"/>
        <v>14714400</v>
      </c>
      <c r="N74" s="392">
        <f t="shared" si="22"/>
        <v>21801874.204394512</v>
      </c>
      <c r="O74" s="392">
        <f t="shared" si="29"/>
        <v>5426472.3447768409</v>
      </c>
      <c r="P74" s="181">
        <f t="shared" si="30"/>
        <v>16375401.859617671</v>
      </c>
      <c r="Q74" s="421"/>
      <c r="R74" s="392">
        <f t="shared" si="23"/>
        <v>31089801.859617673</v>
      </c>
      <c r="S74" s="373">
        <f t="shared" si="24"/>
        <v>-2931152.507904835</v>
      </c>
      <c r="T74" s="132">
        <f t="shared" si="25"/>
        <v>0.85139578275694416</v>
      </c>
      <c r="U74" s="181">
        <f t="shared" si="26"/>
        <v>5426472.344776839</v>
      </c>
      <c r="V74" s="134">
        <f>U74/ITA!B72*1000</f>
        <v>100.7273033727092</v>
      </c>
      <c r="W74" s="132"/>
      <c r="X74" s="392">
        <f t="shared" si="31"/>
        <v>2931152.507904835</v>
      </c>
      <c r="Y74" s="373">
        <f t="shared" si="32"/>
        <v>34020954.367522508</v>
      </c>
      <c r="Z74" s="373">
        <f t="shared" si="33"/>
        <v>0</v>
      </c>
      <c r="AA74" s="132">
        <f t="shared" si="34"/>
        <v>0.93166554115283462</v>
      </c>
      <c r="AB74" s="181">
        <f t="shared" si="35"/>
        <v>2495319.836872004</v>
      </c>
      <c r="AC74" s="134">
        <f>AB74/ITA!B72*1000</f>
        <v>46.31864354058218</v>
      </c>
    </row>
    <row r="75" spans="1:29" x14ac:dyDescent="0.25">
      <c r="A75" s="123" t="s">
        <v>72</v>
      </c>
      <c r="B75" s="47">
        <v>9921.15</v>
      </c>
      <c r="C75" s="516">
        <v>7.1412919112442208E-3</v>
      </c>
      <c r="D75" s="379">
        <f>'Total Inst. Cost'!G73</f>
        <v>58162454.87617638</v>
      </c>
      <c r="E75" s="380">
        <f>Facilities!J83</f>
        <v>13723362.632142251</v>
      </c>
      <c r="F75" s="381">
        <f>'District Services'!K82</f>
        <v>2579291.9625073913</v>
      </c>
      <c r="G75" s="404">
        <f t="shared" si="27"/>
        <v>74465109.47082603</v>
      </c>
      <c r="H75" s="79"/>
      <c r="I75" s="379">
        <f>'FY 19 State Pmt'!BL74</f>
        <v>44964591.739999995</v>
      </c>
      <c r="J75" s="380">
        <f>'Prop Tax'!K73</f>
        <v>17310919.055340253</v>
      </c>
      <c r="K75" s="540">
        <f t="shared" si="28"/>
        <v>62275510.795340247</v>
      </c>
      <c r="L75" s="422"/>
      <c r="M75" s="379">
        <f t="shared" si="21"/>
        <v>29763450</v>
      </c>
      <c r="N75" s="393">
        <f t="shared" si="22"/>
        <v>44701659.47082603</v>
      </c>
      <c r="O75" s="393">
        <f t="shared" si="29"/>
        <v>11777265.968588855</v>
      </c>
      <c r="P75" s="180">
        <f t="shared" si="30"/>
        <v>32924393.502237175</v>
      </c>
      <c r="Q75" s="422"/>
      <c r="R75" s="393">
        <f t="shared" si="23"/>
        <v>62687843.502237171</v>
      </c>
      <c r="S75" s="374">
        <f t="shared" si="24"/>
        <v>412332.70689692348</v>
      </c>
      <c r="T75" s="79">
        <f t="shared" si="25"/>
        <v>0.84184182293852716</v>
      </c>
      <c r="U75" s="180">
        <f t="shared" si="26"/>
        <v>11777265.968588859</v>
      </c>
      <c r="V75" s="124">
        <f>U75/ITA!B73*1000</f>
        <v>100.72730337270929</v>
      </c>
      <c r="W75" s="79"/>
      <c r="X75" s="393">
        <f t="shared" si="31"/>
        <v>0</v>
      </c>
      <c r="Y75" s="374">
        <f t="shared" si="32"/>
        <v>62687843.502237171</v>
      </c>
      <c r="Z75" s="374">
        <f t="shared" si="33"/>
        <v>412332.70689692348</v>
      </c>
      <c r="AA75" s="79">
        <f t="shared" si="34"/>
        <v>0.84184182293852716</v>
      </c>
      <c r="AB75" s="180">
        <f t="shared" si="35"/>
        <v>11777265.968588859</v>
      </c>
      <c r="AC75" s="124">
        <f>AB75/ITA!B73*1000</f>
        <v>100.72730337270929</v>
      </c>
    </row>
    <row r="76" spans="1:29" x14ac:dyDescent="0.25">
      <c r="A76" s="125" t="s">
        <v>73</v>
      </c>
      <c r="B76" s="126">
        <v>2737.16</v>
      </c>
      <c r="C76" s="515">
        <v>3.0188340893884868E-3</v>
      </c>
      <c r="D76" s="382">
        <f>'Total Inst. Cost'!G74</f>
        <v>16916675.618235309</v>
      </c>
      <c r="E76" s="383">
        <f>Facilities!J84</f>
        <v>3938448.5102745676</v>
      </c>
      <c r="F76" s="384">
        <f>'District Services'!K83</f>
        <v>1232000.521468305</v>
      </c>
      <c r="G76" s="405">
        <f t="shared" si="27"/>
        <v>22087124.649978179</v>
      </c>
      <c r="H76" s="132"/>
      <c r="I76" s="382">
        <f>'FY 19 State Pmt'!BL75</f>
        <v>13270798.720000003</v>
      </c>
      <c r="J76" s="383">
        <f>'Prop Tax'!K74</f>
        <v>6106575.3989446247</v>
      </c>
      <c r="K76" s="539">
        <f t="shared" si="28"/>
        <v>19377374.118944626</v>
      </c>
      <c r="L76" s="421"/>
      <c r="M76" s="382">
        <f t="shared" si="21"/>
        <v>8211480</v>
      </c>
      <c r="N76" s="392">
        <f t="shared" si="22"/>
        <v>13875644.649978179</v>
      </c>
      <c r="O76" s="392">
        <f t="shared" si="29"/>
        <v>4978596.6499689659</v>
      </c>
      <c r="P76" s="181">
        <f t="shared" si="30"/>
        <v>8897048.0000092126</v>
      </c>
      <c r="Q76" s="421"/>
      <c r="R76" s="392">
        <f t="shared" si="23"/>
        <v>17108528.000009213</v>
      </c>
      <c r="S76" s="373">
        <f t="shared" si="24"/>
        <v>-2268846.1189354137</v>
      </c>
      <c r="T76" s="132">
        <f t="shared" si="25"/>
        <v>0.77459281237977329</v>
      </c>
      <c r="U76" s="181">
        <f t="shared" si="26"/>
        <v>4978596.6499689668</v>
      </c>
      <c r="V76" s="134">
        <f>U76/ITA!B74*1000</f>
        <v>100.72730337270926</v>
      </c>
      <c r="W76" s="132"/>
      <c r="X76" s="392">
        <f t="shared" si="31"/>
        <v>2268846.1189354137</v>
      </c>
      <c r="Y76" s="373">
        <f t="shared" si="32"/>
        <v>19377374.118944626</v>
      </c>
      <c r="Z76" s="373">
        <f t="shared" si="33"/>
        <v>0</v>
      </c>
      <c r="AA76" s="132">
        <f t="shared" si="34"/>
        <v>0.87731537834933937</v>
      </c>
      <c r="AB76" s="181">
        <f t="shared" si="35"/>
        <v>2709750.5310335532</v>
      </c>
      <c r="AC76" s="134">
        <f>AB76/ITA!B74*1000</f>
        <v>54.823855595025577</v>
      </c>
    </row>
    <row r="77" spans="1:29" x14ac:dyDescent="0.25">
      <c r="A77" s="123" t="s">
        <v>74</v>
      </c>
      <c r="B77" s="47">
        <v>2669.43</v>
      </c>
      <c r="C77" s="516">
        <v>1.9755154732677767E-3</v>
      </c>
      <c r="D77" s="379">
        <f>'Total Inst. Cost'!G75</f>
        <v>16197562.658636674</v>
      </c>
      <c r="E77" s="380">
        <f>Facilities!J85</f>
        <v>3791095.6506472537</v>
      </c>
      <c r="F77" s="381">
        <f>'District Services'!K84</f>
        <v>1226902.3142279794</v>
      </c>
      <c r="G77" s="406">
        <f t="shared" si="27"/>
        <v>21215560.623511907</v>
      </c>
      <c r="H77" s="79"/>
      <c r="I77" s="379">
        <f>'FY 19 State Pmt'!BL76</f>
        <v>12879667.939999999</v>
      </c>
      <c r="J77" s="380">
        <f>'Prop Tax'!K75</f>
        <v>4278581.9397553345</v>
      </c>
      <c r="K77" s="540">
        <f t="shared" si="28"/>
        <v>17158249.879755333</v>
      </c>
      <c r="L77" s="422"/>
      <c r="M77" s="379">
        <f t="shared" si="21"/>
        <v>8008289.9999999991</v>
      </c>
      <c r="N77" s="393">
        <f t="shared" si="22"/>
        <v>13207270.623511907</v>
      </c>
      <c r="O77" s="393">
        <f t="shared" si="29"/>
        <v>3257977.8901215154</v>
      </c>
      <c r="P77" s="180">
        <f t="shared" si="30"/>
        <v>9949292.7333903909</v>
      </c>
      <c r="Q77" s="422"/>
      <c r="R77" s="393">
        <f t="shared" si="23"/>
        <v>17957582.733390391</v>
      </c>
      <c r="S77" s="374">
        <f t="shared" si="24"/>
        <v>799332.85363505781</v>
      </c>
      <c r="T77" s="79">
        <f t="shared" si="25"/>
        <v>0.84643451342450515</v>
      </c>
      <c r="U77" s="180">
        <f t="shared" si="26"/>
        <v>3257977.8901215158</v>
      </c>
      <c r="V77" s="124">
        <f>U77/ITA!B75*1000</f>
        <v>100.72730337270926</v>
      </c>
      <c r="W77" s="79"/>
      <c r="X77" s="393">
        <f t="shared" si="31"/>
        <v>0</v>
      </c>
      <c r="Y77" s="374">
        <f t="shared" si="32"/>
        <v>17957582.733390391</v>
      </c>
      <c r="Z77" s="374">
        <f t="shared" si="33"/>
        <v>799332.85363505781</v>
      </c>
      <c r="AA77" s="79">
        <f t="shared" si="34"/>
        <v>0.84643451342450515</v>
      </c>
      <c r="AB77" s="180">
        <f t="shared" si="35"/>
        <v>3257977.8901215158</v>
      </c>
      <c r="AC77" s="124">
        <f>AB77/ITA!B75*1000</f>
        <v>100.72730337270926</v>
      </c>
    </row>
    <row r="78" spans="1:29" x14ac:dyDescent="0.25">
      <c r="A78" s="125" t="s">
        <v>75</v>
      </c>
      <c r="B78" s="126">
        <v>8533.4500000000007</v>
      </c>
      <c r="C78" s="515">
        <v>1.284812011328567E-2</v>
      </c>
      <c r="D78" s="382">
        <f>'Total Inst. Cost'!G76</f>
        <v>49667500.700819165</v>
      </c>
      <c r="E78" s="383">
        <f>Facilities!J86</f>
        <v>11785458.847338295</v>
      </c>
      <c r="F78" s="384">
        <f>'District Services'!K85</f>
        <v>2219280.518940018</v>
      </c>
      <c r="G78" s="405">
        <f t="shared" si="27"/>
        <v>63672240.067097478</v>
      </c>
      <c r="H78" s="132"/>
      <c r="I78" s="382">
        <f>'FY 19 State Pmt'!BL77</f>
        <v>33827597.670000009</v>
      </c>
      <c r="J78" s="383">
        <f>'Prop Tax'!K76</f>
        <v>15283691.607939929</v>
      </c>
      <c r="K78" s="539">
        <f t="shared" si="28"/>
        <v>49111289.277939938</v>
      </c>
      <c r="L78" s="421"/>
      <c r="M78" s="382">
        <f t="shared" si="21"/>
        <v>25600350.000000004</v>
      </c>
      <c r="N78" s="392">
        <f t="shared" si="22"/>
        <v>38071890.06709747</v>
      </c>
      <c r="O78" s="392">
        <f t="shared" si="29"/>
        <v>21188845.050891876</v>
      </c>
      <c r="P78" s="181">
        <f t="shared" si="30"/>
        <v>16883045.016205594</v>
      </c>
      <c r="Q78" s="421"/>
      <c r="R78" s="392">
        <f t="shared" si="23"/>
        <v>42483395.016205594</v>
      </c>
      <c r="S78" s="373">
        <f t="shared" si="24"/>
        <v>-6627894.2617343441</v>
      </c>
      <c r="T78" s="132">
        <f t="shared" si="25"/>
        <v>0.66722004709488492</v>
      </c>
      <c r="U78" s="181">
        <f t="shared" si="26"/>
        <v>21188845.050891884</v>
      </c>
      <c r="V78" s="134">
        <f>U78/ITA!B76*1000</f>
        <v>100.72730337270927</v>
      </c>
      <c r="W78" s="132"/>
      <c r="X78" s="392">
        <f t="shared" si="31"/>
        <v>6627894.2617343441</v>
      </c>
      <c r="Y78" s="373">
        <f t="shared" si="32"/>
        <v>49111289.277939938</v>
      </c>
      <c r="Z78" s="373">
        <f t="shared" si="33"/>
        <v>0</v>
      </c>
      <c r="AA78" s="132">
        <f t="shared" si="34"/>
        <v>0.77131398590950651</v>
      </c>
      <c r="AB78" s="181">
        <f t="shared" si="35"/>
        <v>14560950.78915754</v>
      </c>
      <c r="AC78" s="134">
        <f>AB78/ITA!B76*1000</f>
        <v>69.219691021942992</v>
      </c>
    </row>
    <row r="79" spans="1:29" x14ac:dyDescent="0.25">
      <c r="A79" s="123" t="s">
        <v>76</v>
      </c>
      <c r="B79" s="47">
        <v>10966.62</v>
      </c>
      <c r="C79" s="516">
        <v>1.1539723645201585E-2</v>
      </c>
      <c r="D79" s="379">
        <f>'Total Inst. Cost'!G77</f>
        <v>67189240.106866941</v>
      </c>
      <c r="E79" s="380">
        <f>Facilities!J87</f>
        <v>15567826.260324059</v>
      </c>
      <c r="F79" s="381">
        <f>'District Services'!K86</f>
        <v>3092165.6986981137</v>
      </c>
      <c r="G79" s="404">
        <f t="shared" si="27"/>
        <v>85849232.06588912</v>
      </c>
      <c r="H79" s="79"/>
      <c r="I79" s="379">
        <f>'FY 19 State Pmt'!BL78</f>
        <v>50435630.910000011</v>
      </c>
      <c r="J79" s="380">
        <f>'Prop Tax'!K77</f>
        <v>17428871.123002939</v>
      </c>
      <c r="K79" s="540">
        <f t="shared" si="28"/>
        <v>67864502.033002943</v>
      </c>
      <c r="L79" s="422"/>
      <c r="M79" s="379">
        <f t="shared" si="21"/>
        <v>32899860.000000004</v>
      </c>
      <c r="N79" s="393">
        <f t="shared" si="22"/>
        <v>52949372.06588912</v>
      </c>
      <c r="O79" s="393">
        <f t="shared" si="29"/>
        <v>19031065.563860126</v>
      </c>
      <c r="P79" s="180">
        <f t="shared" si="30"/>
        <v>33918306.502028994</v>
      </c>
      <c r="Q79" s="422"/>
      <c r="R79" s="393">
        <f t="shared" si="23"/>
        <v>66818166.502029002</v>
      </c>
      <c r="S79" s="374">
        <f t="shared" si="24"/>
        <v>-1046335.5309739411</v>
      </c>
      <c r="T79" s="79">
        <f t="shared" si="25"/>
        <v>0.778319909148939</v>
      </c>
      <c r="U79" s="180">
        <f t="shared" si="26"/>
        <v>19031065.563860118</v>
      </c>
      <c r="V79" s="124">
        <f>U79/ITA!B77*1000</f>
        <v>100.7273033727092</v>
      </c>
      <c r="W79" s="79"/>
      <c r="X79" s="393">
        <f t="shared" si="31"/>
        <v>1046335.5309739411</v>
      </c>
      <c r="Y79" s="374">
        <f t="shared" si="32"/>
        <v>67864502.033002943</v>
      </c>
      <c r="Z79" s="374">
        <f t="shared" si="33"/>
        <v>0</v>
      </c>
      <c r="AA79" s="79">
        <f t="shared" si="34"/>
        <v>0.79050796844539117</v>
      </c>
      <c r="AB79" s="180">
        <f t="shared" si="35"/>
        <v>17984730.032886177</v>
      </c>
      <c r="AC79" s="124">
        <f>AB79/ITA!B77*1000</f>
        <v>95.189276292491442</v>
      </c>
    </row>
    <row r="80" spans="1:29" x14ac:dyDescent="0.25">
      <c r="A80" s="125" t="s">
        <v>77</v>
      </c>
      <c r="B80" s="126">
        <v>7107.44</v>
      </c>
      <c r="C80" s="515">
        <v>9.4814763426312627E-3</v>
      </c>
      <c r="D80" s="382">
        <f>'Total Inst. Cost'!G78</f>
        <v>42364955.552934125</v>
      </c>
      <c r="E80" s="383">
        <f>Facilities!J88</f>
        <v>9988089.7917533983</v>
      </c>
      <c r="F80" s="384">
        <f>'District Services'!K87</f>
        <v>1715095.1184004669</v>
      </c>
      <c r="G80" s="405">
        <f t="shared" si="27"/>
        <v>54068140.463087991</v>
      </c>
      <c r="H80" s="132"/>
      <c r="I80" s="382">
        <f>'FY 19 State Pmt'!BL79</f>
        <v>30705837.949999996</v>
      </c>
      <c r="J80" s="383">
        <f>'Prop Tax'!K78</f>
        <v>16630543.368527502</v>
      </c>
      <c r="K80" s="539">
        <f t="shared" si="28"/>
        <v>47336381.318527497</v>
      </c>
      <c r="L80" s="421"/>
      <c r="M80" s="382">
        <f t="shared" si="21"/>
        <v>21322320</v>
      </c>
      <c r="N80" s="392">
        <f t="shared" si="22"/>
        <v>32745820.463087991</v>
      </c>
      <c r="O80" s="392">
        <f t="shared" si="29"/>
        <v>15636648.109318927</v>
      </c>
      <c r="P80" s="181">
        <f t="shared" si="30"/>
        <v>17109172.353769064</v>
      </c>
      <c r="Q80" s="421"/>
      <c r="R80" s="392">
        <f t="shared" si="23"/>
        <v>38431492.353769064</v>
      </c>
      <c r="S80" s="373">
        <f t="shared" si="24"/>
        <v>-8904888.9647584334</v>
      </c>
      <c r="T80" s="132">
        <f t="shared" si="25"/>
        <v>0.71079737576708457</v>
      </c>
      <c r="U80" s="181">
        <f t="shared" si="26"/>
        <v>15636648.109318927</v>
      </c>
      <c r="V80" s="134">
        <f>U80/ITA!B78*1000</f>
        <v>100.72730337270923</v>
      </c>
      <c r="W80" s="132"/>
      <c r="X80" s="392">
        <f t="shared" si="31"/>
        <v>8904888.9647584334</v>
      </c>
      <c r="Y80" s="373">
        <f t="shared" si="32"/>
        <v>47336381.318527497</v>
      </c>
      <c r="Z80" s="373">
        <f t="shared" si="33"/>
        <v>0</v>
      </c>
      <c r="AA80" s="132">
        <f t="shared" si="34"/>
        <v>0.8754949016758542</v>
      </c>
      <c r="AB80" s="181">
        <f t="shared" si="35"/>
        <v>6731759.1445604935</v>
      </c>
      <c r="AC80" s="134">
        <f>AB80/ITA!B78*1000</f>
        <v>43.364277359547785</v>
      </c>
    </row>
    <row r="81" spans="1:29" x14ac:dyDescent="0.25">
      <c r="A81" s="123" t="s">
        <v>78</v>
      </c>
      <c r="B81" s="47">
        <v>15888.61</v>
      </c>
      <c r="C81" s="516">
        <v>1.2164867429038082E-2</v>
      </c>
      <c r="D81" s="379">
        <f>'Total Inst. Cost'!G79</f>
        <v>98307537.191798344</v>
      </c>
      <c r="E81" s="380">
        <f>Facilities!J89</f>
        <v>22841286.039309006</v>
      </c>
      <c r="F81" s="381">
        <f>'District Services'!K88</f>
        <v>3919477.323274327</v>
      </c>
      <c r="G81" s="406">
        <f t="shared" si="27"/>
        <v>125068300.55438168</v>
      </c>
      <c r="H81" s="79"/>
      <c r="I81" s="379">
        <f>'FY 19 State Pmt'!BL80</f>
        <v>77764909.240000024</v>
      </c>
      <c r="J81" s="380">
        <f>'Prop Tax'!K79</f>
        <v>20901974.990587439</v>
      </c>
      <c r="K81" s="540">
        <f t="shared" si="28"/>
        <v>98666884.230587468</v>
      </c>
      <c r="L81" s="422"/>
      <c r="M81" s="379">
        <f t="shared" si="21"/>
        <v>47665830</v>
      </c>
      <c r="N81" s="393">
        <f t="shared" si="22"/>
        <v>77402470.554381683</v>
      </c>
      <c r="O81" s="393">
        <f t="shared" si="29"/>
        <v>20062039.329161603</v>
      </c>
      <c r="P81" s="180">
        <f t="shared" si="30"/>
        <v>57340431.225220084</v>
      </c>
      <c r="Q81" s="422"/>
      <c r="R81" s="393">
        <f t="shared" si="23"/>
        <v>105006261.22522008</v>
      </c>
      <c r="S81" s="374">
        <f t="shared" si="24"/>
        <v>6339376.9946326166</v>
      </c>
      <c r="T81" s="79">
        <f t="shared" si="25"/>
        <v>0.83959133337357295</v>
      </c>
      <c r="U81" s="180">
        <f t="shared" si="26"/>
        <v>20062039.329161599</v>
      </c>
      <c r="V81" s="124">
        <f>U81/ITA!B79*1000</f>
        <v>100.72730337270922</v>
      </c>
      <c r="W81" s="79"/>
      <c r="X81" s="393">
        <f t="shared" si="31"/>
        <v>0</v>
      </c>
      <c r="Y81" s="374">
        <f t="shared" si="32"/>
        <v>105006261.22522008</v>
      </c>
      <c r="Z81" s="374">
        <f t="shared" si="33"/>
        <v>6339376.9946326166</v>
      </c>
      <c r="AA81" s="79">
        <f t="shared" si="34"/>
        <v>0.83959133337357295</v>
      </c>
      <c r="AB81" s="180">
        <f t="shared" si="35"/>
        <v>20062039.329161599</v>
      </c>
      <c r="AC81" s="124">
        <f>AB81/ITA!B79*1000</f>
        <v>100.72730337270922</v>
      </c>
    </row>
    <row r="82" spans="1:29" x14ac:dyDescent="0.25">
      <c r="A82" s="125" t="s">
        <v>79</v>
      </c>
      <c r="B82" s="126">
        <v>3787.02</v>
      </c>
      <c r="C82" s="515">
        <v>3.2362466407739551E-3</v>
      </c>
      <c r="D82" s="382">
        <f>'Total Inst. Cost'!G80</f>
        <v>23611644.233587757</v>
      </c>
      <c r="E82" s="383">
        <f>Facilities!J90</f>
        <v>5487591.2165351296</v>
      </c>
      <c r="F82" s="384">
        <f>'District Services'!K89</f>
        <v>1279669.8103043248</v>
      </c>
      <c r="G82" s="405">
        <f t="shared" si="27"/>
        <v>30378905.26042721</v>
      </c>
      <c r="H82" s="132"/>
      <c r="I82" s="382">
        <f>'FY 19 State Pmt'!BL81</f>
        <v>18576654.430000003</v>
      </c>
      <c r="J82" s="383">
        <f>'Prop Tax'!K80</f>
        <v>5640943.2722596163</v>
      </c>
      <c r="K82" s="539">
        <f t="shared" si="28"/>
        <v>24217597.702259619</v>
      </c>
      <c r="L82" s="421"/>
      <c r="M82" s="382">
        <f t="shared" si="21"/>
        <v>11361060</v>
      </c>
      <c r="N82" s="392">
        <f t="shared" si="22"/>
        <v>19017845.26042721</v>
      </c>
      <c r="O82" s="392">
        <f t="shared" si="29"/>
        <v>5337148.7823281698</v>
      </c>
      <c r="P82" s="181">
        <f t="shared" si="30"/>
        <v>13680696.478099041</v>
      </c>
      <c r="Q82" s="421"/>
      <c r="R82" s="392">
        <f t="shared" si="23"/>
        <v>25041756.478099041</v>
      </c>
      <c r="S82" s="373">
        <f t="shared" si="24"/>
        <v>824158.7758394219</v>
      </c>
      <c r="T82" s="132">
        <f t="shared" si="25"/>
        <v>0.82431398575509052</v>
      </c>
      <c r="U82" s="181">
        <f t="shared" si="26"/>
        <v>5337148.7823281698</v>
      </c>
      <c r="V82" s="134">
        <f>U82/ITA!B80*1000</f>
        <v>100.72730337270924</v>
      </c>
      <c r="W82" s="132"/>
      <c r="X82" s="392">
        <f t="shared" si="31"/>
        <v>0</v>
      </c>
      <c r="Y82" s="373">
        <f t="shared" si="32"/>
        <v>25041756.478099041</v>
      </c>
      <c r="Z82" s="373">
        <f t="shared" si="33"/>
        <v>824158.7758394219</v>
      </c>
      <c r="AA82" s="132">
        <f t="shared" si="34"/>
        <v>0.82431398575509052</v>
      </c>
      <c r="AB82" s="181">
        <f t="shared" si="35"/>
        <v>5337148.7823281698</v>
      </c>
      <c r="AC82" s="134">
        <f>AB82/ITA!B80*1000</f>
        <v>100.72730337270924</v>
      </c>
    </row>
    <row r="83" spans="1:29" x14ac:dyDescent="0.25">
      <c r="A83" s="123" t="s">
        <v>80</v>
      </c>
      <c r="B83" s="47">
        <v>3426.1</v>
      </c>
      <c r="C83" s="516">
        <v>4.6326639230576819E-3</v>
      </c>
      <c r="D83" s="379">
        <f>'Total Inst. Cost'!G81</f>
        <v>22116081.577916391</v>
      </c>
      <c r="E83" s="380">
        <f>Facilities!J91</f>
        <v>5134117.0954227988</v>
      </c>
      <c r="F83" s="381">
        <f>'District Services'!K90</f>
        <v>1270923.1127461456</v>
      </c>
      <c r="G83" s="404">
        <f t="shared" si="27"/>
        <v>28521121.786085334</v>
      </c>
      <c r="H83" s="79"/>
      <c r="I83" s="379">
        <f>'FY 19 State Pmt'!BL82</f>
        <v>16529167.569999995</v>
      </c>
      <c r="J83" s="380">
        <f>'Prop Tax'!K81</f>
        <v>5071592.2534352848</v>
      </c>
      <c r="K83" s="540">
        <f t="shared" si="28"/>
        <v>21600759.82343528</v>
      </c>
      <c r="L83" s="422"/>
      <c r="M83" s="379">
        <f t="shared" si="21"/>
        <v>10278300</v>
      </c>
      <c r="N83" s="393">
        <f t="shared" si="22"/>
        <v>18242821.786085334</v>
      </c>
      <c r="O83" s="393">
        <f t="shared" si="29"/>
        <v>7640090.3146151621</v>
      </c>
      <c r="P83" s="180">
        <f t="shared" si="30"/>
        <v>10602731.471470172</v>
      </c>
      <c r="Q83" s="422"/>
      <c r="R83" s="393">
        <f t="shared" si="23"/>
        <v>20881031.47147017</v>
      </c>
      <c r="S83" s="374">
        <f t="shared" si="24"/>
        <v>-719728.35196511075</v>
      </c>
      <c r="T83" s="79">
        <f t="shared" si="25"/>
        <v>0.73212518175415697</v>
      </c>
      <c r="U83" s="180">
        <f t="shared" si="26"/>
        <v>7640090.314615164</v>
      </c>
      <c r="V83" s="124">
        <f>U83/ITA!B81*1000</f>
        <v>100.72730337270926</v>
      </c>
      <c r="W83" s="79"/>
      <c r="X83" s="393">
        <f t="shared" si="31"/>
        <v>719728.35196511075</v>
      </c>
      <c r="Y83" s="374">
        <f t="shared" si="32"/>
        <v>21600759.82343528</v>
      </c>
      <c r="Z83" s="374">
        <f t="shared" si="33"/>
        <v>0</v>
      </c>
      <c r="AA83" s="79">
        <f t="shared" si="34"/>
        <v>0.75736010615030203</v>
      </c>
      <c r="AB83" s="180">
        <f t="shared" si="35"/>
        <v>6920361.9626500532</v>
      </c>
      <c r="AC83" s="124">
        <f>AB83/ITA!B81*1000</f>
        <v>91.238371557904983</v>
      </c>
    </row>
    <row r="84" spans="1:29" x14ac:dyDescent="0.25">
      <c r="A84" s="125" t="s">
        <v>81</v>
      </c>
      <c r="B84" s="126">
        <v>4956.4399999999996</v>
      </c>
      <c r="C84" s="515">
        <v>3.8046201543972895E-3</v>
      </c>
      <c r="D84" s="382">
        <f>'Total Inst. Cost'!G82</f>
        <v>30816540.640512552</v>
      </c>
      <c r="E84" s="383">
        <f>Facilities!J92</f>
        <v>7173516.0136201829</v>
      </c>
      <c r="F84" s="384">
        <f>'District Services'!K91</f>
        <v>1331076.6062947845</v>
      </c>
      <c r="G84" s="405">
        <f t="shared" si="27"/>
        <v>39321133.26042752</v>
      </c>
      <c r="H84" s="132"/>
      <c r="I84" s="382">
        <f>'FY 19 State Pmt'!BL83</f>
        <v>25486416.130000003</v>
      </c>
      <c r="J84" s="383">
        <f>'Prop Tax'!K82</f>
        <v>7384810.4567388752</v>
      </c>
      <c r="K84" s="539">
        <f t="shared" si="28"/>
        <v>32871226.586738877</v>
      </c>
      <c r="L84" s="421"/>
      <c r="M84" s="382">
        <f t="shared" si="21"/>
        <v>14869319.999999998</v>
      </c>
      <c r="N84" s="392">
        <f t="shared" si="22"/>
        <v>24451813.26042752</v>
      </c>
      <c r="O84" s="392">
        <f t="shared" si="29"/>
        <v>6274498.2315088715</v>
      </c>
      <c r="P84" s="181">
        <f t="shared" si="30"/>
        <v>18177315.028918646</v>
      </c>
      <c r="Q84" s="421"/>
      <c r="R84" s="392">
        <f t="shared" si="23"/>
        <v>33046635.028918646</v>
      </c>
      <c r="S84" s="373">
        <f t="shared" si="24"/>
        <v>175408.44217976928</v>
      </c>
      <c r="T84" s="132">
        <f t="shared" si="25"/>
        <v>0.84042936428224768</v>
      </c>
      <c r="U84" s="181">
        <f t="shared" si="26"/>
        <v>6274498.2315088734</v>
      </c>
      <c r="V84" s="134">
        <f>U84/ITA!B82*1000</f>
        <v>100.72730337270927</v>
      </c>
      <c r="W84" s="132"/>
      <c r="X84" s="392">
        <f t="shared" si="31"/>
        <v>0</v>
      </c>
      <c r="Y84" s="373">
        <f t="shared" si="32"/>
        <v>33046635.028918646</v>
      </c>
      <c r="Z84" s="373">
        <f t="shared" si="33"/>
        <v>175408.44217976928</v>
      </c>
      <c r="AA84" s="132">
        <f t="shared" si="34"/>
        <v>0.84042936428224768</v>
      </c>
      <c r="AB84" s="181">
        <f t="shared" si="35"/>
        <v>6274498.2315088734</v>
      </c>
      <c r="AC84" s="134">
        <f>AB84/ITA!B82*1000</f>
        <v>100.72730337270927</v>
      </c>
    </row>
    <row r="85" spans="1:29" x14ac:dyDescent="0.25">
      <c r="A85" s="123" t="s">
        <v>82</v>
      </c>
      <c r="B85" s="47">
        <v>7694.47</v>
      </c>
      <c r="C85" s="516">
        <v>1.4482174336249929E-2</v>
      </c>
      <c r="D85" s="379">
        <f>'Total Inst. Cost'!G83</f>
        <v>41519939.675881289</v>
      </c>
      <c r="E85" s="380">
        <f>Facilities!J93</f>
        <v>9993086.3751662951</v>
      </c>
      <c r="F85" s="381">
        <f>'District Services'!K92</f>
        <v>1705005.1236990951</v>
      </c>
      <c r="G85" s="406">
        <f t="shared" si="27"/>
        <v>53218031.174746677</v>
      </c>
      <c r="H85" s="79"/>
      <c r="I85" s="379">
        <f>'FY 19 State Pmt'!BL84</f>
        <v>26648832.299999993</v>
      </c>
      <c r="J85" s="380">
        <f>'Prop Tax'!K83</f>
        <v>12999621.307783056</v>
      </c>
      <c r="K85" s="540">
        <f t="shared" si="28"/>
        <v>39648453.607783049</v>
      </c>
      <c r="L85" s="422"/>
      <c r="M85" s="379">
        <f t="shared" si="21"/>
        <v>23083410</v>
      </c>
      <c r="N85" s="393">
        <f t="shared" si="22"/>
        <v>30134621.174746677</v>
      </c>
      <c r="O85" s="393">
        <f t="shared" si="29"/>
        <v>23883692.346049272</v>
      </c>
      <c r="P85" s="180">
        <f t="shared" si="30"/>
        <v>6250928.8286974058</v>
      </c>
      <c r="Q85" s="422"/>
      <c r="R85" s="393">
        <f t="shared" si="23"/>
        <v>29334338.828697406</v>
      </c>
      <c r="S85" s="374">
        <f t="shared" si="24"/>
        <v>-10314114.779085644</v>
      </c>
      <c r="T85" s="79">
        <f t="shared" si="25"/>
        <v>0.55121052359819922</v>
      </c>
      <c r="U85" s="180">
        <f t="shared" si="26"/>
        <v>23883692.346049272</v>
      </c>
      <c r="V85" s="124">
        <f>U85/ITA!B83*1000</f>
        <v>100.72730337270924</v>
      </c>
      <c r="W85" s="79"/>
      <c r="X85" s="393">
        <f t="shared" si="31"/>
        <v>10314114.779085644</v>
      </c>
      <c r="Y85" s="374">
        <f t="shared" si="32"/>
        <v>39648453.607783049</v>
      </c>
      <c r="Z85" s="374">
        <f t="shared" si="33"/>
        <v>0</v>
      </c>
      <c r="AA85" s="79">
        <f t="shared" si="34"/>
        <v>0.74501917362544712</v>
      </c>
      <c r="AB85" s="180">
        <f t="shared" si="35"/>
        <v>13569577.566963628</v>
      </c>
      <c r="AC85" s="124">
        <f>AB85/ITA!B83*1000</f>
        <v>57.228461011102802</v>
      </c>
    </row>
    <row r="86" spans="1:29" x14ac:dyDescent="0.25">
      <c r="A86" s="125" t="s">
        <v>83</v>
      </c>
      <c r="B86" s="126">
        <v>17132.009999999998</v>
      </c>
      <c r="C86" s="515">
        <v>1.913798531740914E-2</v>
      </c>
      <c r="D86" s="382">
        <f>'Total Inst. Cost'!G84</f>
        <v>102172395.46003979</v>
      </c>
      <c r="E86" s="383">
        <f>Facilities!J94</f>
        <v>24032919.04081247</v>
      </c>
      <c r="F86" s="384">
        <f>'District Services'!K93</f>
        <v>3948496.2011807049</v>
      </c>
      <c r="G86" s="405">
        <f t="shared" si="27"/>
        <v>130153810.70203297</v>
      </c>
      <c r="H86" s="132"/>
      <c r="I86" s="382">
        <f>'FY 19 State Pmt'!BL85</f>
        <v>75177606.350000009</v>
      </c>
      <c r="J86" s="383">
        <f>'Prop Tax'!K84</f>
        <v>30717666.351034239</v>
      </c>
      <c r="K86" s="539">
        <f t="shared" si="28"/>
        <v>105895272.70103425</v>
      </c>
      <c r="L86" s="421"/>
      <c r="M86" s="382">
        <f t="shared" si="21"/>
        <v>51396029.999999993</v>
      </c>
      <c r="N86" s="392">
        <f t="shared" si="22"/>
        <v>78757780.702032983</v>
      </c>
      <c r="O86" s="392">
        <f t="shared" si="29"/>
        <v>31561956.294096623</v>
      </c>
      <c r="P86" s="181">
        <f t="shared" si="30"/>
        <v>47195824.407936364</v>
      </c>
      <c r="Q86" s="421"/>
      <c r="R86" s="392">
        <f t="shared" si="23"/>
        <v>98591854.407936364</v>
      </c>
      <c r="S86" s="373">
        <f t="shared" si="24"/>
        <v>-7303418.2930978835</v>
      </c>
      <c r="T86" s="132">
        <f t="shared" si="25"/>
        <v>0.75750263381567196</v>
      </c>
      <c r="U86" s="181">
        <f t="shared" si="26"/>
        <v>31561956.294096604</v>
      </c>
      <c r="V86" s="134">
        <f>U86/ITA!B84*1000</f>
        <v>100.72730337270917</v>
      </c>
      <c r="W86" s="132"/>
      <c r="X86" s="392">
        <f t="shared" si="31"/>
        <v>7303418.2930978835</v>
      </c>
      <c r="Y86" s="373">
        <f t="shared" si="32"/>
        <v>105895272.70103425</v>
      </c>
      <c r="Z86" s="373">
        <f t="shared" si="33"/>
        <v>0</v>
      </c>
      <c r="AA86" s="132">
        <f t="shared" si="34"/>
        <v>0.81361638303057526</v>
      </c>
      <c r="AB86" s="181">
        <f t="shared" si="35"/>
        <v>24258538.000998721</v>
      </c>
      <c r="AC86" s="134">
        <f>AB86/ITA!B84*1000</f>
        <v>77.419064073098269</v>
      </c>
    </row>
    <row r="87" spans="1:29" ht="15.75" thickBot="1" x14ac:dyDescent="0.3">
      <c r="A87" s="140" t="s">
        <v>84</v>
      </c>
      <c r="B87" s="141">
        <v>15937.31</v>
      </c>
      <c r="C87" s="517">
        <v>1.1890746295467006E-2</v>
      </c>
      <c r="D87" s="385">
        <f>'Total Inst. Cost'!G85</f>
        <v>83932324.89221172</v>
      </c>
      <c r="E87" s="386">
        <f>Facilities!J95</f>
        <v>20139410.21195583</v>
      </c>
      <c r="F87" s="387">
        <f>'District Services'!K94</f>
        <v>3803344.2600772432</v>
      </c>
      <c r="G87" s="408">
        <f t="shared" si="27"/>
        <v>107875079.36424479</v>
      </c>
      <c r="H87" s="147"/>
      <c r="I87" s="385">
        <f>'FY 19 State Pmt'!BL86</f>
        <v>67329412.590000033</v>
      </c>
      <c r="J87" s="386">
        <f>'Prop Tax'!K85</f>
        <v>20226580.938614521</v>
      </c>
      <c r="K87" s="541">
        <f t="shared" si="28"/>
        <v>87555993.528614551</v>
      </c>
      <c r="L87" s="423"/>
      <c r="M87" s="385">
        <f t="shared" si="21"/>
        <v>47811930</v>
      </c>
      <c r="N87" s="394">
        <f t="shared" si="22"/>
        <v>60063149.364244789</v>
      </c>
      <c r="O87" s="394">
        <f t="shared" si="29"/>
        <v>19609964.615258031</v>
      </c>
      <c r="P87" s="182">
        <f t="shared" si="30"/>
        <v>40453184.748986758</v>
      </c>
      <c r="Q87" s="423"/>
      <c r="R87" s="394">
        <f t="shared" si="23"/>
        <v>88265114.748986751</v>
      </c>
      <c r="S87" s="375">
        <f t="shared" si="24"/>
        <v>709121.22037220001</v>
      </c>
      <c r="T87" s="147">
        <f t="shared" si="25"/>
        <v>0.81821598898625925</v>
      </c>
      <c r="U87" s="182">
        <f t="shared" si="26"/>
        <v>19609964.615258038</v>
      </c>
      <c r="V87" s="148">
        <f>U87/ITA!B85*1000</f>
        <v>100.72730337270929</v>
      </c>
      <c r="W87" s="147"/>
      <c r="X87" s="394">
        <f t="shared" si="31"/>
        <v>0</v>
      </c>
      <c r="Y87" s="375">
        <f t="shared" si="32"/>
        <v>88265114.748986751</v>
      </c>
      <c r="Z87" s="375">
        <f t="shared" si="33"/>
        <v>709121.22037220001</v>
      </c>
      <c r="AA87" s="147">
        <f>Y87/G87</f>
        <v>0.81821598898625925</v>
      </c>
      <c r="AB87" s="182">
        <f t="shared" si="35"/>
        <v>19609964.615258038</v>
      </c>
      <c r="AC87" s="148">
        <f>AB87/ITA!B85*1000</f>
        <v>100.72730337270929</v>
      </c>
    </row>
    <row r="88" spans="1:29" s="3" customFormat="1" ht="15.75" thickBot="1" x14ac:dyDescent="0.3">
      <c r="A88" s="687" t="s">
        <v>312</v>
      </c>
      <c r="B88" s="150">
        <v>721122.25</v>
      </c>
      <c r="C88" s="518">
        <f>SUM(C7:C87)</f>
        <v>1.0000000000000004</v>
      </c>
      <c r="D88" s="388">
        <f>'Total Inst. Cost'!G86</f>
        <v>4285662739.4764681</v>
      </c>
      <c r="E88" s="389">
        <f>Facilities!J96</f>
        <v>1005803194.2990003</v>
      </c>
      <c r="F88" s="390">
        <f>'District Services'!K95</f>
        <v>170258064.45440018</v>
      </c>
      <c r="G88" s="409">
        <f>SUM(D88:F88)</f>
        <v>5461723998.2298689</v>
      </c>
      <c r="H88" s="158"/>
      <c r="I88" s="388">
        <f>'FY 19 State Pmt'!BL87</f>
        <v>3024977581.3500009</v>
      </c>
      <c r="J88" s="390">
        <f>SUM(J7:J87)</f>
        <v>1208947937.6700773</v>
      </c>
      <c r="K88" s="542">
        <f>SUM(K7:K87)</f>
        <v>4233925519.0200758</v>
      </c>
      <c r="L88" s="530"/>
      <c r="M88" s="388">
        <f t="shared" si="21"/>
        <v>2163366750</v>
      </c>
      <c r="N88" s="513">
        <f t="shared" si="22"/>
        <v>3298357248.2298689</v>
      </c>
      <c r="O88" s="513">
        <f>($G$88-$M$88)*$O$6*C88</f>
        <v>1649178624.1149352</v>
      </c>
      <c r="P88" s="183">
        <f>G88-M88-O88</f>
        <v>1649178624.1149337</v>
      </c>
      <c r="Q88" s="530"/>
      <c r="R88" s="513">
        <f t="shared" si="23"/>
        <v>3812545374.114934</v>
      </c>
      <c r="S88" s="389">
        <f>SUM(S7:S87)</f>
        <v>-343406670.31068504</v>
      </c>
      <c r="T88" s="158">
        <f t="shared" si="25"/>
        <v>0.69804797447666167</v>
      </c>
      <c r="U88" s="183">
        <f>SUM(U7:U87)</f>
        <v>1571205149.5204761</v>
      </c>
      <c r="V88" s="162">
        <f>U88/ITA!B86*1000</f>
        <v>95.964897581332167</v>
      </c>
      <c r="W88" s="158"/>
      <c r="X88" s="513">
        <f>O88-S88</f>
        <v>1992585294.4256201</v>
      </c>
      <c r="Y88" s="389">
        <f>SUM(Y7:Y87)</f>
        <v>4282169325.280601</v>
      </c>
      <c r="Z88" s="389">
        <f>SUM(Z7:Z87)</f>
        <v>48243806.260524869</v>
      </c>
      <c r="AA88" s="158">
        <f>Y88/G88</f>
        <v>0.7840325374677376</v>
      </c>
      <c r="AB88" s="183">
        <f>SUM(AB7:AB87)</f>
        <v>1179554672.9492669</v>
      </c>
      <c r="AC88" s="162">
        <f>AB88/ITA!B86*1000</f>
        <v>72.04396155123662</v>
      </c>
    </row>
    <row r="89" spans="1:29" x14ac:dyDescent="0.25">
      <c r="A89" s="284" t="s">
        <v>600</v>
      </c>
      <c r="B89" s="284"/>
      <c r="C89" s="284"/>
      <c r="D89" s="284">
        <f>D88/$B$88</f>
        <v>5943.046050064976</v>
      </c>
      <c r="E89" s="284">
        <f t="shared" ref="E89:G89" si="36">E88/$B$88</f>
        <v>1394.7748724976941</v>
      </c>
      <c r="F89" s="284">
        <f t="shared" si="36"/>
        <v>236.10152710500915</v>
      </c>
      <c r="G89" s="284">
        <f t="shared" si="36"/>
        <v>7573.9224496676798</v>
      </c>
      <c r="I89" s="284">
        <f t="shared" ref="I89:K89" si="37">I88/$B$88</f>
        <v>4194.8193684912658</v>
      </c>
      <c r="J89" s="284">
        <f t="shared" si="37"/>
        <v>1676.4812591347409</v>
      </c>
      <c r="K89" s="284">
        <f t="shared" si="37"/>
        <v>5871.3006276260039</v>
      </c>
      <c r="M89" s="284">
        <f t="shared" ref="M89:S89" si="38">M88/$B$88</f>
        <v>3000</v>
      </c>
      <c r="N89" s="284">
        <f t="shared" si="38"/>
        <v>4573.9224496676798</v>
      </c>
      <c r="O89" s="284">
        <f t="shared" si="38"/>
        <v>2286.9612248338408</v>
      </c>
      <c r="P89" s="284">
        <f t="shared" si="38"/>
        <v>2286.961224833839</v>
      </c>
      <c r="R89" s="284">
        <f t="shared" si="38"/>
        <v>5286.961224833839</v>
      </c>
      <c r="S89" s="284">
        <f t="shared" si="38"/>
        <v>-476.21144724169176</v>
      </c>
      <c r="U89" s="284">
        <f>U88/$B$88</f>
        <v>2178.8332692833651</v>
      </c>
      <c r="V89" s="206"/>
      <c r="X89" s="284">
        <f>X88/$B$88</f>
        <v>2763.1726720755323</v>
      </c>
      <c r="Y89" s="284">
        <f t="shared" ref="Y89:Z89" si="39">Y88/$B$88</f>
        <v>5938.2016367968135</v>
      </c>
      <c r="Z89" s="284">
        <f t="shared" si="39"/>
        <v>66.901009170809616</v>
      </c>
      <c r="AB89" s="284">
        <f>AB88/$B$88</f>
        <v>1635.7208128708646</v>
      </c>
      <c r="AC89" s="206"/>
    </row>
    <row r="90" spans="1:29" x14ac:dyDescent="0.25">
      <c r="H90" s="371"/>
      <c r="L90" s="371"/>
      <c r="N90" s="105"/>
      <c r="P90" s="289"/>
      <c r="Q90" s="371"/>
      <c r="R90" t="s">
        <v>585</v>
      </c>
      <c r="S90" s="105">
        <f>SUMIF(S7:S87,"&gt;0")</f>
        <v>48243806.260524869</v>
      </c>
      <c r="T90" s="371">
        <f>COUNTIF(S7:S87,"&gt;0")</f>
        <v>34</v>
      </c>
      <c r="U90" s="400" t="s">
        <v>702</v>
      </c>
      <c r="V90" s="206">
        <f>MIN(V7:V87)</f>
        <v>72.989374027996192</v>
      </c>
      <c r="W90" s="371"/>
      <c r="Y90" s="452" t="s">
        <v>704</v>
      </c>
      <c r="Z90" s="451">
        <f>SUMIF(Z7:Z87,"&gt;0")</f>
        <v>48243806.260524869</v>
      </c>
      <c r="AA90" s="371">
        <f>COUNTIF(Z7:Z87,"&gt;0")</f>
        <v>34</v>
      </c>
      <c r="AB90" s="400" t="s">
        <v>702</v>
      </c>
      <c r="AC90" s="206">
        <f>MIN(AC7:AC87)</f>
        <v>0.17027552032698887</v>
      </c>
    </row>
    <row r="91" spans="1:29" x14ac:dyDescent="0.25">
      <c r="H91" s="371"/>
      <c r="L91" s="371"/>
      <c r="N91" s="105"/>
      <c r="P91" s="288"/>
      <c r="Q91" s="371"/>
      <c r="R91" t="s">
        <v>586</v>
      </c>
      <c r="S91" s="105">
        <f>SUMIF(S7:S87,"&lt;0")</f>
        <v>-391650476.57120991</v>
      </c>
      <c r="T91" s="371">
        <f>COUNTIF(S7:S87,"&lt;0")</f>
        <v>47</v>
      </c>
      <c r="U91" s="400" t="s">
        <v>703</v>
      </c>
      <c r="V91" s="206">
        <f>MAX(V7:V87)</f>
        <v>100.72730337270937</v>
      </c>
      <c r="W91" s="371"/>
      <c r="Z91" s="105">
        <f>SUMIF(Z7:Z87,"&lt;0")</f>
        <v>0</v>
      </c>
      <c r="AA91" s="371">
        <f>COUNTIF(Z7:Z87,"&lt;0")</f>
        <v>0</v>
      </c>
      <c r="AB91" s="400" t="s">
        <v>703</v>
      </c>
      <c r="AC91" s="206">
        <f>MAX(AC7:AC87)</f>
        <v>100.72730337270937</v>
      </c>
    </row>
  </sheetData>
  <mergeCells count="8">
    <mergeCell ref="AB3:AC3"/>
    <mergeCell ref="D3:G3"/>
    <mergeCell ref="I3:K3"/>
    <mergeCell ref="U3:V3"/>
    <mergeCell ref="D2:G2"/>
    <mergeCell ref="O3:P3"/>
    <mergeCell ref="R3:T3"/>
    <mergeCell ref="X3:AA3"/>
  </mergeCells>
  <conditionalFormatting sqref="G7">
    <cfRule type="expression" priority="1">
      <formula>"&lt;$N$6"</formula>
    </cfRule>
  </conditionalFormatting>
  <printOptions horizontalCentered="1"/>
  <pageMargins left="0.5" right="0.5" top="0.5" bottom="0.5" header="0.3" footer="0.3"/>
  <pageSetup paperSize="5" scale="63" fitToHeight="0" orientation="landscape" r:id="rId1"/>
  <headerFooter>
    <oddHeader>&amp;R&amp;"-,Bold"&amp;12Option 2 Page &amp;P</oddHeader>
    <oddFooter>&amp;R&amp;P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pageSetUpPr fitToPage="1"/>
  </sheetPr>
  <dimension ref="A1:X93"/>
  <sheetViews>
    <sheetView zoomScaleNormal="100" zoomScaleSheetLayoutView="85" workbookViewId="0">
      <selection activeCell="A2" sqref="A2"/>
    </sheetView>
  </sheetViews>
  <sheetFormatPr defaultRowHeight="15" x14ac:dyDescent="0.25"/>
  <cols>
    <col min="1" max="1" width="17.28515625" bestFit="1" customWidth="1"/>
    <col min="2" max="2" width="10.85546875" hidden="1" customWidth="1"/>
    <col min="3" max="3" width="10.85546875" style="72" bestFit="1" customWidth="1"/>
    <col min="4" max="4" width="15.85546875" bestFit="1" customWidth="1"/>
    <col min="5" max="5" width="11.85546875" bestFit="1" customWidth="1"/>
    <col min="6" max="6" width="15" bestFit="1" customWidth="1"/>
    <col min="7" max="7" width="15.140625" style="38" bestFit="1" customWidth="1"/>
    <col min="8" max="8" width="1.5703125" style="289" customWidth="1"/>
    <col min="9" max="9" width="17.28515625" bestFit="1" customWidth="1"/>
    <col min="10" max="10" width="10.140625" bestFit="1" customWidth="1"/>
    <col min="11" max="11" width="15.140625" bestFit="1" customWidth="1"/>
    <col min="12" max="12" width="1.5703125" style="289" customWidth="1"/>
    <col min="13" max="14" width="15.140625" bestFit="1" customWidth="1"/>
    <col min="15" max="15" width="14.85546875" bestFit="1" customWidth="1"/>
    <col min="16" max="16" width="11.42578125" style="289" bestFit="1" customWidth="1"/>
    <col min="17" max="17" width="9.28515625" style="289" bestFit="1" customWidth="1"/>
    <col min="18" max="18" width="1.5703125" style="289" customWidth="1"/>
    <col min="19" max="19" width="12.42578125" style="105" bestFit="1" customWidth="1"/>
    <col min="20" max="20" width="14.5703125" style="105" bestFit="1" customWidth="1"/>
    <col min="21" max="21" width="11.85546875" style="105" bestFit="1" customWidth="1"/>
    <col min="22" max="22" width="11.42578125" bestFit="1" customWidth="1"/>
    <col min="23" max="23" width="15.140625" bestFit="1" customWidth="1"/>
    <col min="24" max="24" width="9.28515625" bestFit="1" customWidth="1"/>
  </cols>
  <sheetData>
    <row r="1" spans="1:24" ht="24" thickBot="1" x14ac:dyDescent="0.4">
      <c r="A1" s="4" t="s">
        <v>699</v>
      </c>
      <c r="B1" s="4"/>
      <c r="C1" s="71"/>
      <c r="V1" s="105"/>
      <c r="W1" s="105"/>
    </row>
    <row r="2" spans="1:24" ht="15.75" thickBot="1" x14ac:dyDescent="0.3">
      <c r="D2" s="919" t="s">
        <v>707</v>
      </c>
      <c r="E2" s="920"/>
      <c r="F2" s="920"/>
      <c r="G2" s="921"/>
      <c r="H2" s="400"/>
      <c r="L2" s="400"/>
      <c r="M2" s="105"/>
      <c r="N2" s="105"/>
      <c r="O2" s="105"/>
      <c r="P2" s="400"/>
      <c r="Q2" s="400"/>
      <c r="R2" s="400"/>
    </row>
    <row r="3" spans="1:24" ht="15.75" thickBot="1" x14ac:dyDescent="0.3">
      <c r="D3" s="919" t="s">
        <v>601</v>
      </c>
      <c r="E3" s="920"/>
      <c r="F3" s="920"/>
      <c r="G3" s="921"/>
      <c r="H3" s="448"/>
      <c r="I3" s="919" t="s">
        <v>584</v>
      </c>
      <c r="J3" s="920"/>
      <c r="K3" s="921"/>
      <c r="L3" s="448"/>
      <c r="M3" s="922" t="s">
        <v>664</v>
      </c>
      <c r="N3" s="924"/>
      <c r="O3" s="105"/>
      <c r="P3" s="400"/>
      <c r="Q3" s="448"/>
      <c r="R3" s="448"/>
      <c r="S3" s="925" t="s">
        <v>576</v>
      </c>
      <c r="T3" s="926"/>
      <c r="U3" s="926"/>
      <c r="V3" s="927"/>
      <c r="W3" s="919" t="s">
        <v>207</v>
      </c>
      <c r="X3" s="921"/>
    </row>
    <row r="4" spans="1:24" s="3" customFormat="1" ht="45.75" thickBot="1" x14ac:dyDescent="0.3">
      <c r="A4" s="744" t="s">
        <v>0</v>
      </c>
      <c r="B4" s="199" t="s">
        <v>86</v>
      </c>
      <c r="C4" s="772" t="s">
        <v>650</v>
      </c>
      <c r="D4" s="199" t="s">
        <v>166</v>
      </c>
      <c r="E4" s="773" t="s">
        <v>167</v>
      </c>
      <c r="F4" s="199" t="s">
        <v>168</v>
      </c>
      <c r="G4" s="199" t="s">
        <v>99</v>
      </c>
      <c r="H4" s="57"/>
      <c r="I4" s="77" t="s">
        <v>706</v>
      </c>
      <c r="J4" s="579" t="s">
        <v>560</v>
      </c>
      <c r="K4" s="57" t="s">
        <v>91</v>
      </c>
      <c r="L4" s="57"/>
      <c r="M4" s="103" t="s">
        <v>207</v>
      </c>
      <c r="N4" s="166" t="s">
        <v>208</v>
      </c>
      <c r="O4" s="57" t="s">
        <v>561</v>
      </c>
      <c r="P4" s="199" t="s">
        <v>209</v>
      </c>
      <c r="Q4" s="57" t="s">
        <v>652</v>
      </c>
      <c r="R4" s="57"/>
      <c r="S4" s="396" t="s">
        <v>588</v>
      </c>
      <c r="T4" s="396" t="s">
        <v>700</v>
      </c>
      <c r="U4" s="396" t="s">
        <v>603</v>
      </c>
      <c r="V4" s="57" t="s">
        <v>589</v>
      </c>
      <c r="W4" s="57" t="s">
        <v>587</v>
      </c>
      <c r="X4" s="57" t="s">
        <v>652</v>
      </c>
    </row>
    <row r="5" spans="1:24" s="3" customFormat="1" ht="15.75" thickBot="1" x14ac:dyDescent="0.3">
      <c r="A5" s="746" t="s">
        <v>715</v>
      </c>
      <c r="B5" s="741"/>
      <c r="C5" s="774" t="s">
        <v>716</v>
      </c>
      <c r="D5" s="777" t="s">
        <v>717</v>
      </c>
      <c r="E5" s="778" t="s">
        <v>718</v>
      </c>
      <c r="F5" s="778" t="s">
        <v>719</v>
      </c>
      <c r="G5" s="775" t="s">
        <v>720</v>
      </c>
      <c r="H5" s="776"/>
      <c r="I5" s="777" t="s">
        <v>721</v>
      </c>
      <c r="J5" s="778" t="s">
        <v>722</v>
      </c>
      <c r="K5" s="775" t="s">
        <v>723</v>
      </c>
      <c r="L5" s="754"/>
      <c r="M5" s="751" t="s">
        <v>724</v>
      </c>
      <c r="N5" s="747" t="s">
        <v>725</v>
      </c>
      <c r="O5" s="755" t="s">
        <v>726</v>
      </c>
      <c r="P5" s="752" t="s">
        <v>727</v>
      </c>
      <c r="Q5" s="752" t="s">
        <v>728</v>
      </c>
      <c r="R5" s="754"/>
      <c r="S5" s="770" t="s">
        <v>729</v>
      </c>
      <c r="T5" s="771" t="s">
        <v>730</v>
      </c>
      <c r="U5" s="771" t="s">
        <v>731</v>
      </c>
      <c r="V5" s="752" t="s">
        <v>732</v>
      </c>
      <c r="W5" s="755" t="s">
        <v>733</v>
      </c>
      <c r="X5" s="752" t="s">
        <v>734</v>
      </c>
    </row>
    <row r="6" spans="1:24" s="3" customFormat="1" ht="15.75" thickBot="1" x14ac:dyDescent="0.3">
      <c r="A6" s="135"/>
      <c r="B6" s="171"/>
      <c r="C6" s="172"/>
      <c r="D6" s="376"/>
      <c r="E6" s="377"/>
      <c r="F6" s="377"/>
      <c r="G6" s="378"/>
      <c r="H6" s="100"/>
      <c r="I6" s="98"/>
      <c r="J6" s="99"/>
      <c r="K6" s="100"/>
      <c r="L6" s="100"/>
      <c r="M6" s="438">
        <f>1-N6</f>
        <v>0.33465966069949882</v>
      </c>
      <c r="N6" s="552">
        <v>0.66534033930050118</v>
      </c>
      <c r="O6" s="558"/>
      <c r="P6" s="439"/>
      <c r="Q6" s="100"/>
      <c r="R6" s="100"/>
      <c r="S6" s="397"/>
      <c r="T6" s="398"/>
      <c r="U6" s="399"/>
      <c r="V6" s="100"/>
      <c r="W6" s="780"/>
      <c r="X6" s="779"/>
    </row>
    <row r="7" spans="1:24" x14ac:dyDescent="0.25">
      <c r="A7" s="167" t="s">
        <v>4</v>
      </c>
      <c r="B7" s="93">
        <v>2915.96</v>
      </c>
      <c r="C7" s="168">
        <f>ITA!G5</f>
        <v>2.6629610373921173E-3</v>
      </c>
      <c r="D7" s="379">
        <f>'Total Inst. Cost'!G5</f>
        <v>17451819.025048982</v>
      </c>
      <c r="E7" s="545" t="s">
        <v>705</v>
      </c>
      <c r="F7" s="381">
        <f>'District Services'!K14</f>
        <v>1236460.9204746105</v>
      </c>
      <c r="G7" s="404">
        <f>SUM(D7:F7)</f>
        <v>18688279.945523594</v>
      </c>
      <c r="H7" s="170"/>
      <c r="I7" s="379">
        <f>'FY 19 State Pmt (Opt 3)'!BE6</f>
        <v>13545040.830000008</v>
      </c>
      <c r="J7" s="550" t="s">
        <v>705</v>
      </c>
      <c r="K7" s="540">
        <f>I7</f>
        <v>13545040.830000008</v>
      </c>
      <c r="L7" s="170"/>
      <c r="M7" s="468">
        <f t="shared" ref="M7:M38" si="0">C7*($G$88*$M$6)</f>
        <v>3971052.6210959018</v>
      </c>
      <c r="N7" s="553">
        <f>G7-M7</f>
        <v>14717227.324427692</v>
      </c>
      <c r="O7" s="559">
        <f t="shared" ref="O7:O38" si="1">N7-K7</f>
        <v>1172186.4944276847</v>
      </c>
      <c r="P7" s="440">
        <f t="shared" ref="P7:P38" si="2">N7/G7</f>
        <v>0.78751106936157123</v>
      </c>
      <c r="Q7" s="170">
        <f>M7/ITA!B5*1000</f>
        <v>100.69889894265026</v>
      </c>
      <c r="R7" s="170"/>
      <c r="S7" s="391">
        <f t="shared" ref="S7:S38" si="3">IF(O7&lt;0,K7-N7,0)</f>
        <v>0</v>
      </c>
      <c r="T7" s="372">
        <f t="shared" ref="T7:T38" si="4">S7+N7</f>
        <v>14717227.324427692</v>
      </c>
      <c r="U7" s="372">
        <f t="shared" ref="U7:U38" si="5">T7-K7</f>
        <v>1172186.4944276847</v>
      </c>
      <c r="V7" s="169">
        <f t="shared" ref="V7:V38" si="6">T7/G7</f>
        <v>0.78751106936157123</v>
      </c>
      <c r="W7" s="180">
        <f t="shared" ref="W7:W38" si="7">G7-T7</f>
        <v>3971052.6210959014</v>
      </c>
      <c r="X7" s="170">
        <f>W7/ITA!B5*1000</f>
        <v>100.69889894265025</v>
      </c>
    </row>
    <row r="8" spans="1:24" x14ac:dyDescent="0.25">
      <c r="A8" s="125" t="s">
        <v>5</v>
      </c>
      <c r="B8" s="126">
        <v>23246.81</v>
      </c>
      <c r="C8" s="127">
        <f>ITA!G6</f>
        <v>2.9483066751580217E-2</v>
      </c>
      <c r="D8" s="382">
        <f>'Total Inst. Cost'!G6</f>
        <v>138895821.26898709</v>
      </c>
      <c r="E8" s="546" t="s">
        <v>705</v>
      </c>
      <c r="F8" s="384">
        <f>'District Services'!K15</f>
        <v>4204534.977216037</v>
      </c>
      <c r="G8" s="405">
        <f t="shared" ref="G8:G71" si="8">SUM(D8:F8)</f>
        <v>143100356.24620312</v>
      </c>
      <c r="H8" s="134"/>
      <c r="I8" s="382">
        <f>'FY 19 State Pmt (Opt 3)'!BE7</f>
        <v>98190197.650000006</v>
      </c>
      <c r="J8" s="546" t="s">
        <v>705</v>
      </c>
      <c r="K8" s="539">
        <f t="shared" ref="K8:K71" si="9">I8</f>
        <v>98190197.650000006</v>
      </c>
      <c r="L8" s="134"/>
      <c r="M8" s="469">
        <f>C8*($G$88*$M$6)</f>
        <v>43965648.711280175</v>
      </c>
      <c r="N8" s="554">
        <f t="shared" ref="N8:N38" si="10">G8-M8</f>
        <v>99134707.534922957</v>
      </c>
      <c r="O8" s="560">
        <f t="shared" si="1"/>
        <v>944509.88492295146</v>
      </c>
      <c r="P8" s="441">
        <f t="shared" si="2"/>
        <v>0.69276352718760825</v>
      </c>
      <c r="Q8" s="134">
        <f>M8/ITA!B6*1000</f>
        <v>95.859486633484508</v>
      </c>
      <c r="R8" s="134"/>
      <c r="S8" s="392">
        <f t="shared" si="3"/>
        <v>0</v>
      </c>
      <c r="T8" s="373">
        <f t="shared" si="4"/>
        <v>99134707.534922957</v>
      </c>
      <c r="U8" s="373">
        <f t="shared" si="5"/>
        <v>944509.88492295146</v>
      </c>
      <c r="V8" s="132">
        <f t="shared" si="6"/>
        <v>0.69276352718760825</v>
      </c>
      <c r="W8" s="181">
        <f t="shared" si="7"/>
        <v>43965648.711280167</v>
      </c>
      <c r="X8" s="134">
        <f>W8/ITA!B6*1000</f>
        <v>95.859486633484494</v>
      </c>
    </row>
    <row r="9" spans="1:24" x14ac:dyDescent="0.25">
      <c r="A9" s="123" t="s">
        <v>6</v>
      </c>
      <c r="B9" s="47">
        <v>1028.55</v>
      </c>
      <c r="C9" s="73">
        <f>ITA!G7</f>
        <v>1.1399990670148705E-3</v>
      </c>
      <c r="D9" s="379">
        <f>'Total Inst. Cost'!G7</f>
        <v>6507619.5006696107</v>
      </c>
      <c r="E9" s="547" t="s">
        <v>705</v>
      </c>
      <c r="F9" s="380">
        <f>'District Services'!K16</f>
        <v>1158361.8245410377</v>
      </c>
      <c r="G9" s="404">
        <f t="shared" si="8"/>
        <v>7665981.3252106486</v>
      </c>
      <c r="H9" s="124"/>
      <c r="I9" s="379">
        <f>'FY 19 State Pmt (Opt 3)'!BE8</f>
        <v>5262752.2400000021</v>
      </c>
      <c r="J9" s="547" t="s">
        <v>705</v>
      </c>
      <c r="K9" s="540">
        <f t="shared" si="9"/>
        <v>5262752.2400000021</v>
      </c>
      <c r="L9" s="124"/>
      <c r="M9" s="471">
        <f t="shared" si="0"/>
        <v>1699985.9252727362</v>
      </c>
      <c r="N9" s="555">
        <f t="shared" si="10"/>
        <v>5965995.3999379128</v>
      </c>
      <c r="O9" s="559">
        <f t="shared" si="1"/>
        <v>703243.15993791074</v>
      </c>
      <c r="P9" s="442">
        <f t="shared" si="2"/>
        <v>0.77824288200623515</v>
      </c>
      <c r="Q9" s="124">
        <f>M9/ITA!B7*1000</f>
        <v>82.733075982965232</v>
      </c>
      <c r="R9" s="124"/>
      <c r="S9" s="393">
        <f t="shared" si="3"/>
        <v>0</v>
      </c>
      <c r="T9" s="374">
        <f t="shared" si="4"/>
        <v>5965995.3999379128</v>
      </c>
      <c r="U9" s="374">
        <f t="shared" si="5"/>
        <v>703243.15993791074</v>
      </c>
      <c r="V9" s="79">
        <f t="shared" si="6"/>
        <v>0.77824288200623515</v>
      </c>
      <c r="W9" s="180">
        <f t="shared" si="7"/>
        <v>1699985.9252727358</v>
      </c>
      <c r="X9" s="124">
        <f>W9/ITA!B7*1000</f>
        <v>82.733075982965204</v>
      </c>
    </row>
    <row r="10" spans="1:24" x14ac:dyDescent="0.25">
      <c r="A10" s="125" t="s">
        <v>7</v>
      </c>
      <c r="B10" s="126">
        <v>9875.19</v>
      </c>
      <c r="C10" s="127">
        <f>ITA!G8</f>
        <v>8.0765621403118895E-3</v>
      </c>
      <c r="D10" s="382">
        <f>'Total Inst. Cost'!G8</f>
        <v>57334020.757144377</v>
      </c>
      <c r="E10" s="546" t="s">
        <v>705</v>
      </c>
      <c r="F10" s="384">
        <f>'District Services'!K17</f>
        <v>2570120.165301017</v>
      </c>
      <c r="G10" s="405">
        <f t="shared" si="8"/>
        <v>59904140.922445394</v>
      </c>
      <c r="H10" s="134"/>
      <c r="I10" s="382">
        <f>'FY 19 State Pmt (Opt 3)'!BE9</f>
        <v>44748011.060000002</v>
      </c>
      <c r="J10" s="546" t="s">
        <v>705</v>
      </c>
      <c r="K10" s="539">
        <f t="shared" si="9"/>
        <v>44748011.060000002</v>
      </c>
      <c r="L10" s="134"/>
      <c r="M10" s="469">
        <f t="shared" si="0"/>
        <v>12043906.315707326</v>
      </c>
      <c r="N10" s="554">
        <f t="shared" si="10"/>
        <v>47860234.606738068</v>
      </c>
      <c r="O10" s="560">
        <f t="shared" si="1"/>
        <v>3112223.5467380658</v>
      </c>
      <c r="P10" s="441">
        <f t="shared" si="2"/>
        <v>0.79894701551099934</v>
      </c>
      <c r="Q10" s="134">
        <f>M10/ITA!B8*1000</f>
        <v>97.715538457390224</v>
      </c>
      <c r="R10" s="134"/>
      <c r="S10" s="392">
        <f t="shared" si="3"/>
        <v>0</v>
      </c>
      <c r="T10" s="373">
        <f t="shared" si="4"/>
        <v>47860234.606738068</v>
      </c>
      <c r="U10" s="373">
        <f t="shared" si="5"/>
        <v>3112223.5467380658</v>
      </c>
      <c r="V10" s="132">
        <f t="shared" si="6"/>
        <v>0.79894701551099934</v>
      </c>
      <c r="W10" s="181">
        <f t="shared" si="7"/>
        <v>12043906.315707326</v>
      </c>
      <c r="X10" s="134">
        <f>W10/ITA!B8*1000</f>
        <v>97.715538457390224</v>
      </c>
    </row>
    <row r="11" spans="1:24" x14ac:dyDescent="0.25">
      <c r="A11" s="123" t="s">
        <v>8</v>
      </c>
      <c r="B11" s="47">
        <v>3618.89</v>
      </c>
      <c r="C11" s="73">
        <f>ITA!G9</f>
        <v>2.6141066256172166E-3</v>
      </c>
      <c r="D11" s="379">
        <f>'Total Inst. Cost'!G9</f>
        <v>22183673.082758758</v>
      </c>
      <c r="E11" s="547" t="s">
        <v>705</v>
      </c>
      <c r="F11" s="381">
        <f>'District Services'!K18</f>
        <v>1267198.941009718</v>
      </c>
      <c r="G11" s="404">
        <f t="shared" si="8"/>
        <v>23450872.023768477</v>
      </c>
      <c r="H11" s="124"/>
      <c r="I11" s="379">
        <f>'FY 19 State Pmt (Opt 3)'!BE10</f>
        <v>18111760.339999992</v>
      </c>
      <c r="J11" s="547" t="s">
        <v>705</v>
      </c>
      <c r="K11" s="540">
        <f t="shared" si="9"/>
        <v>18111760.339999992</v>
      </c>
      <c r="L11" s="124"/>
      <c r="M11" s="471">
        <f t="shared" si="0"/>
        <v>3898200.0944510475</v>
      </c>
      <c r="N11" s="555">
        <f t="shared" si="10"/>
        <v>19552671.92931743</v>
      </c>
      <c r="O11" s="559">
        <f t="shared" si="1"/>
        <v>1440911.5893174373</v>
      </c>
      <c r="P11" s="442">
        <f t="shared" si="2"/>
        <v>0.83377163584790992</v>
      </c>
      <c r="Q11" s="124">
        <f>M11/ITA!B9*1000</f>
        <v>99.076165847810742</v>
      </c>
      <c r="R11" s="124"/>
      <c r="S11" s="393">
        <f t="shared" si="3"/>
        <v>0</v>
      </c>
      <c r="T11" s="374">
        <f t="shared" si="4"/>
        <v>19552671.92931743</v>
      </c>
      <c r="U11" s="374">
        <f t="shared" si="5"/>
        <v>1440911.5893174373</v>
      </c>
      <c r="V11" s="79">
        <f t="shared" si="6"/>
        <v>0.83377163584790992</v>
      </c>
      <c r="W11" s="180">
        <f t="shared" si="7"/>
        <v>3898200.0944510475</v>
      </c>
      <c r="X11" s="124">
        <f>W11/ITA!B9*1000</f>
        <v>99.076165847810742</v>
      </c>
    </row>
    <row r="12" spans="1:24" x14ac:dyDescent="0.25">
      <c r="A12" s="125" t="s">
        <v>9</v>
      </c>
      <c r="B12" s="126">
        <v>2479.0500000000002</v>
      </c>
      <c r="C12" s="127">
        <f>ITA!G10</f>
        <v>1.9196636875768659E-3</v>
      </c>
      <c r="D12" s="382">
        <f>'Total Inst. Cost'!G10</f>
        <v>15298595.086391399</v>
      </c>
      <c r="E12" s="546" t="s">
        <v>705</v>
      </c>
      <c r="F12" s="384">
        <f>'District Services'!K19</f>
        <v>1220232.1101873219</v>
      </c>
      <c r="G12" s="405">
        <f t="shared" si="8"/>
        <v>16518827.196578721</v>
      </c>
      <c r="H12" s="134"/>
      <c r="I12" s="382">
        <f>'FY 19 State Pmt (Opt 3)'!BE11</f>
        <v>12645381.950000001</v>
      </c>
      <c r="J12" s="546" t="s">
        <v>705</v>
      </c>
      <c r="K12" s="539">
        <f t="shared" si="9"/>
        <v>12645381.950000001</v>
      </c>
      <c r="L12" s="134"/>
      <c r="M12" s="469">
        <f t="shared" si="0"/>
        <v>2862635.0183629249</v>
      </c>
      <c r="N12" s="554">
        <f t="shared" si="10"/>
        <v>13656192.178215796</v>
      </c>
      <c r="O12" s="560">
        <f t="shared" si="1"/>
        <v>1010810.228215795</v>
      </c>
      <c r="P12" s="441">
        <f t="shared" si="2"/>
        <v>0.8267047058307011</v>
      </c>
      <c r="Q12" s="134">
        <f>M12/ITA!B10*1000</f>
        <v>90.885706934197586</v>
      </c>
      <c r="R12" s="134"/>
      <c r="S12" s="392">
        <f t="shared" si="3"/>
        <v>0</v>
      </c>
      <c r="T12" s="373">
        <f t="shared" si="4"/>
        <v>13656192.178215796</v>
      </c>
      <c r="U12" s="373">
        <f t="shared" si="5"/>
        <v>1010810.228215795</v>
      </c>
      <c r="V12" s="132">
        <f t="shared" si="6"/>
        <v>0.8267047058307011</v>
      </c>
      <c r="W12" s="181">
        <f t="shared" si="7"/>
        <v>2862635.0183629245</v>
      </c>
      <c r="X12" s="134">
        <f>W12/ITA!B10*1000</f>
        <v>90.885706934197572</v>
      </c>
    </row>
    <row r="13" spans="1:24" x14ac:dyDescent="0.25">
      <c r="A13" s="123" t="s">
        <v>10</v>
      </c>
      <c r="B13" s="47">
        <v>2744.29</v>
      </c>
      <c r="C13" s="73">
        <f>ITA!G11</f>
        <v>4.5500762423985276E-3</v>
      </c>
      <c r="D13" s="379">
        <f>'Total Inst. Cost'!G11</f>
        <v>16585854.022307459</v>
      </c>
      <c r="E13" s="547" t="s">
        <v>705</v>
      </c>
      <c r="F13" s="381">
        <f>'District Services'!K20</f>
        <v>1229017.169348479</v>
      </c>
      <c r="G13" s="406">
        <f t="shared" si="8"/>
        <v>17814871.191655938</v>
      </c>
      <c r="H13" s="124"/>
      <c r="I13" s="379">
        <f>'FY 19 State Pmt (Opt 3)'!BE12</f>
        <v>11058768.5</v>
      </c>
      <c r="J13" s="547" t="s">
        <v>705</v>
      </c>
      <c r="K13" s="540">
        <f t="shared" si="9"/>
        <v>11058768.5</v>
      </c>
      <c r="L13" s="124"/>
      <c r="M13" s="471">
        <f t="shared" si="0"/>
        <v>6785150.7907369696</v>
      </c>
      <c r="N13" s="555">
        <f t="shared" si="10"/>
        <v>11029720.400918968</v>
      </c>
      <c r="O13" s="559">
        <f t="shared" si="1"/>
        <v>-29048.099081031978</v>
      </c>
      <c r="P13" s="442">
        <f t="shared" si="2"/>
        <v>0.61912995509532665</v>
      </c>
      <c r="Q13" s="124">
        <f>M13/ITA!B11*1000</f>
        <v>88.69514331531613</v>
      </c>
      <c r="R13" s="124"/>
      <c r="S13" s="393">
        <f t="shared" si="3"/>
        <v>29048.099081031978</v>
      </c>
      <c r="T13" s="374">
        <f t="shared" si="4"/>
        <v>11058768.5</v>
      </c>
      <c r="U13" s="374">
        <f t="shared" si="5"/>
        <v>0</v>
      </c>
      <c r="V13" s="79">
        <f t="shared" si="6"/>
        <v>0.6207605085115443</v>
      </c>
      <c r="W13" s="180">
        <f t="shared" si="7"/>
        <v>6756102.6916559376</v>
      </c>
      <c r="X13" s="124">
        <f>W13/ITA!B11*1000</f>
        <v>88.315428053195944</v>
      </c>
    </row>
    <row r="14" spans="1:24" x14ac:dyDescent="0.25">
      <c r="A14" s="125" t="s">
        <v>11</v>
      </c>
      <c r="B14" s="126">
        <v>12671.61</v>
      </c>
      <c r="C14" s="127">
        <f>ITA!G12</f>
        <v>1.4043400874133537E-2</v>
      </c>
      <c r="D14" s="382">
        <f>'Total Inst. Cost'!G12</f>
        <v>75296150.81455341</v>
      </c>
      <c r="E14" s="546" t="s">
        <v>705</v>
      </c>
      <c r="F14" s="384">
        <f>'District Services'!K21</f>
        <v>3457841.2403447316</v>
      </c>
      <c r="G14" s="405">
        <f t="shared" si="8"/>
        <v>78753992.054898143</v>
      </c>
      <c r="H14" s="134"/>
      <c r="I14" s="382">
        <f>'FY 19 State Pmt (Opt 3)'!BE13</f>
        <v>55280308.399999991</v>
      </c>
      <c r="J14" s="546" t="s">
        <v>705</v>
      </c>
      <c r="K14" s="539">
        <f t="shared" si="9"/>
        <v>55280308.399999991</v>
      </c>
      <c r="L14" s="134"/>
      <c r="M14" s="469">
        <f t="shared" si="0"/>
        <v>20941757.339770209</v>
      </c>
      <c r="N14" s="554">
        <f t="shared" si="10"/>
        <v>57812234.71512793</v>
      </c>
      <c r="O14" s="560">
        <f t="shared" si="1"/>
        <v>2531926.315127939</v>
      </c>
      <c r="P14" s="441">
        <f t="shared" si="2"/>
        <v>0.73408640256392277</v>
      </c>
      <c r="Q14" s="134">
        <f>M14/ITA!B12*1000</f>
        <v>90.324398214143244</v>
      </c>
      <c r="R14" s="134"/>
      <c r="S14" s="392">
        <f t="shared" si="3"/>
        <v>0</v>
      </c>
      <c r="T14" s="373">
        <f t="shared" si="4"/>
        <v>57812234.71512793</v>
      </c>
      <c r="U14" s="373">
        <f t="shared" si="5"/>
        <v>2531926.315127939</v>
      </c>
      <c r="V14" s="132">
        <f t="shared" si="6"/>
        <v>0.73408640256392277</v>
      </c>
      <c r="W14" s="181">
        <f t="shared" si="7"/>
        <v>20941757.339770213</v>
      </c>
      <c r="X14" s="134">
        <f>W14/ITA!B12*1000</f>
        <v>90.324398214143258</v>
      </c>
    </row>
    <row r="15" spans="1:24" x14ac:dyDescent="0.25">
      <c r="A15" s="123" t="s">
        <v>12</v>
      </c>
      <c r="B15" s="47">
        <v>1256.76</v>
      </c>
      <c r="C15" s="73">
        <f>ITA!G13</f>
        <v>8.1883649099869578E-4</v>
      </c>
      <c r="D15" s="379">
        <f>'Total Inst. Cost'!G13</f>
        <v>7686152.0506446445</v>
      </c>
      <c r="E15" s="547" t="s">
        <v>705</v>
      </c>
      <c r="F15" s="381">
        <f>'District Services'!K22</f>
        <v>1166864.6720927164</v>
      </c>
      <c r="G15" s="404">
        <f t="shared" si="8"/>
        <v>8853016.7227373607</v>
      </c>
      <c r="H15" s="124"/>
      <c r="I15" s="379">
        <f>'FY 19 State Pmt (Opt 3)'!BE14</f>
        <v>6500831.1900000023</v>
      </c>
      <c r="J15" s="547" t="s">
        <v>705</v>
      </c>
      <c r="K15" s="540">
        <f t="shared" si="9"/>
        <v>6500831.1900000023</v>
      </c>
      <c r="L15" s="124"/>
      <c r="M15" s="471">
        <f t="shared" si="0"/>
        <v>1221062.8500271752</v>
      </c>
      <c r="N15" s="555">
        <f t="shared" si="10"/>
        <v>7631953.8727101851</v>
      </c>
      <c r="O15" s="559">
        <f t="shared" si="1"/>
        <v>1131122.6827101829</v>
      </c>
      <c r="P15" s="442">
        <f t="shared" si="2"/>
        <v>0.86207381186899845</v>
      </c>
      <c r="Q15" s="124">
        <f>M15/ITA!B13*1000</f>
        <v>93.331451770315184</v>
      </c>
      <c r="R15" s="124"/>
      <c r="S15" s="393">
        <f t="shared" si="3"/>
        <v>0</v>
      </c>
      <c r="T15" s="374">
        <f t="shared" si="4"/>
        <v>7631953.8727101851</v>
      </c>
      <c r="U15" s="374">
        <f t="shared" si="5"/>
        <v>1131122.6827101829</v>
      </c>
      <c r="V15" s="79">
        <f t="shared" si="6"/>
        <v>0.86207381186899845</v>
      </c>
      <c r="W15" s="180">
        <f t="shared" si="7"/>
        <v>1221062.8500271756</v>
      </c>
      <c r="X15" s="124">
        <f>W15/ITA!B13*1000</f>
        <v>93.331451770315226</v>
      </c>
    </row>
    <row r="16" spans="1:24" x14ac:dyDescent="0.25">
      <c r="A16" s="125" t="s">
        <v>13</v>
      </c>
      <c r="B16" s="126">
        <v>638.25</v>
      </c>
      <c r="C16" s="127">
        <f>ITA!G14</f>
        <v>6.0632058541067993E-4</v>
      </c>
      <c r="D16" s="382">
        <f>'Total Inst. Cost'!G14</f>
        <v>4244941.7549113333</v>
      </c>
      <c r="E16" s="546" t="s">
        <v>705</v>
      </c>
      <c r="F16" s="384">
        <f>'District Services'!K23</f>
        <v>1142640.1561674955</v>
      </c>
      <c r="G16" s="405">
        <f t="shared" si="8"/>
        <v>5387581.9110788293</v>
      </c>
      <c r="H16" s="134"/>
      <c r="I16" s="382">
        <f>'FY 19 State Pmt (Opt 3)'!BE15</f>
        <v>3444561.36</v>
      </c>
      <c r="J16" s="546" t="s">
        <v>705</v>
      </c>
      <c r="K16" s="539">
        <f t="shared" si="9"/>
        <v>3444561.36</v>
      </c>
      <c r="L16" s="134"/>
      <c r="M16" s="469">
        <f t="shared" si="0"/>
        <v>904155.53067100584</v>
      </c>
      <c r="N16" s="554">
        <f t="shared" si="10"/>
        <v>4483426.3804078232</v>
      </c>
      <c r="O16" s="560">
        <f t="shared" si="1"/>
        <v>1038865.0204078234</v>
      </c>
      <c r="P16" s="441">
        <f t="shared" si="2"/>
        <v>0.83217785908521724</v>
      </c>
      <c r="Q16" s="134">
        <f>M16/ITA!B14*1000</f>
        <v>90.164804745104448</v>
      </c>
      <c r="R16" s="134"/>
      <c r="S16" s="392">
        <f t="shared" si="3"/>
        <v>0</v>
      </c>
      <c r="T16" s="373">
        <f t="shared" si="4"/>
        <v>4483426.3804078232</v>
      </c>
      <c r="U16" s="373">
        <f t="shared" si="5"/>
        <v>1038865.0204078234</v>
      </c>
      <c r="V16" s="132">
        <f t="shared" si="6"/>
        <v>0.83217785908521724</v>
      </c>
      <c r="W16" s="181">
        <f t="shared" si="7"/>
        <v>904155.53067100607</v>
      </c>
      <c r="X16" s="134">
        <f>W16/ITA!B14*1000</f>
        <v>90.164804745104462</v>
      </c>
    </row>
    <row r="17" spans="1:24" x14ac:dyDescent="0.25">
      <c r="A17" s="123" t="s">
        <v>14</v>
      </c>
      <c r="B17" s="47">
        <v>587.14</v>
      </c>
      <c r="C17" s="73">
        <f>ITA!G15</f>
        <v>4.9972601412675394E-4</v>
      </c>
      <c r="D17" s="379">
        <f>'Total Inst. Cost'!G15</f>
        <v>3857935.0405306006</v>
      </c>
      <c r="E17" s="547" t="s">
        <v>705</v>
      </c>
      <c r="F17" s="381">
        <f>'District Services'!K24</f>
        <v>1139423.0827173365</v>
      </c>
      <c r="G17" s="406">
        <f t="shared" si="8"/>
        <v>4997358.1232479373</v>
      </c>
      <c r="H17" s="124"/>
      <c r="I17" s="379">
        <f>'FY 19 State Pmt (Opt 3)'!BE16</f>
        <v>3154064.75</v>
      </c>
      <c r="J17" s="547" t="s">
        <v>705</v>
      </c>
      <c r="K17" s="540">
        <f t="shared" si="9"/>
        <v>3154064.75</v>
      </c>
      <c r="L17" s="124"/>
      <c r="M17" s="471">
        <f t="shared" si="0"/>
        <v>745199.89979697485</v>
      </c>
      <c r="N17" s="555">
        <f t="shared" si="10"/>
        <v>4252158.2234509625</v>
      </c>
      <c r="O17" s="559">
        <f t="shared" si="1"/>
        <v>1098093.4734509625</v>
      </c>
      <c r="P17" s="442">
        <f t="shared" si="2"/>
        <v>0.85088122935791388</v>
      </c>
      <c r="Q17" s="124">
        <f>M17/ITA!B15*1000</f>
        <v>95.572585258911047</v>
      </c>
      <c r="R17" s="124"/>
      <c r="S17" s="393">
        <f t="shared" si="3"/>
        <v>0</v>
      </c>
      <c r="T17" s="374">
        <f t="shared" si="4"/>
        <v>4252158.2234509625</v>
      </c>
      <c r="U17" s="374">
        <f t="shared" si="5"/>
        <v>1098093.4734509625</v>
      </c>
      <c r="V17" s="79">
        <f t="shared" si="6"/>
        <v>0.85088122935791388</v>
      </c>
      <c r="W17" s="180">
        <f t="shared" si="7"/>
        <v>745199.89979697485</v>
      </c>
      <c r="X17" s="124">
        <f>W17/ITA!B15*1000</f>
        <v>95.572585258911047</v>
      </c>
    </row>
    <row r="18" spans="1:24" x14ac:dyDescent="0.25">
      <c r="A18" s="125" t="s">
        <v>15</v>
      </c>
      <c r="B18" s="126">
        <v>822.79</v>
      </c>
      <c r="C18" s="127">
        <f>ITA!G16</f>
        <v>6.7464888672272066E-4</v>
      </c>
      <c r="D18" s="382">
        <f>'Total Inst. Cost'!G16</f>
        <v>5137142.9014278771</v>
      </c>
      <c r="E18" s="546" t="s">
        <v>705</v>
      </c>
      <c r="F18" s="384">
        <f>'District Services'!K25</f>
        <v>1148365.3868798784</v>
      </c>
      <c r="G18" s="405">
        <f t="shared" si="8"/>
        <v>6285508.2883077553</v>
      </c>
      <c r="H18" s="134"/>
      <c r="I18" s="382">
        <f>'FY 19 State Pmt (Opt 3)'!BE17</f>
        <v>4377418.97</v>
      </c>
      <c r="J18" s="546" t="s">
        <v>705</v>
      </c>
      <c r="K18" s="539">
        <f t="shared" si="9"/>
        <v>4377418.97</v>
      </c>
      <c r="L18" s="134"/>
      <c r="M18" s="469">
        <f t="shared" si="0"/>
        <v>1006047.8513659918</v>
      </c>
      <c r="N18" s="554">
        <f t="shared" si="10"/>
        <v>5279460.4369417634</v>
      </c>
      <c r="O18" s="560">
        <f t="shared" si="1"/>
        <v>902041.46694176365</v>
      </c>
      <c r="P18" s="441">
        <f t="shared" si="2"/>
        <v>0.83994168725583696</v>
      </c>
      <c r="Q18" s="134">
        <f>M18/ITA!B16*1000</f>
        <v>88.960370779622906</v>
      </c>
      <c r="R18" s="134"/>
      <c r="S18" s="392">
        <f t="shared" si="3"/>
        <v>0</v>
      </c>
      <c r="T18" s="373">
        <f t="shared" si="4"/>
        <v>5279460.4369417634</v>
      </c>
      <c r="U18" s="373">
        <f t="shared" si="5"/>
        <v>902041.46694176365</v>
      </c>
      <c r="V18" s="132">
        <f t="shared" si="6"/>
        <v>0.83994168725583696</v>
      </c>
      <c r="W18" s="181">
        <f t="shared" si="7"/>
        <v>1006047.8513659919</v>
      </c>
      <c r="X18" s="134">
        <f>W18/ITA!B16*1000</f>
        <v>88.96037077962292</v>
      </c>
    </row>
    <row r="19" spans="1:24" x14ac:dyDescent="0.25">
      <c r="A19" s="123" t="s">
        <v>16</v>
      </c>
      <c r="B19" s="47">
        <v>2117.3200000000002</v>
      </c>
      <c r="C19" s="73">
        <f>ITA!G17</f>
        <v>1.483691928665955E-3</v>
      </c>
      <c r="D19" s="379">
        <f>'Total Inst. Cost'!G17</f>
        <v>13252957.664817503</v>
      </c>
      <c r="E19" s="547" t="s">
        <v>705</v>
      </c>
      <c r="F19" s="381">
        <f>'District Services'!K26</f>
        <v>1206280.78467423</v>
      </c>
      <c r="G19" s="404">
        <f t="shared" si="8"/>
        <v>14459238.449491732</v>
      </c>
      <c r="H19" s="124"/>
      <c r="I19" s="379">
        <f>'FY 19 State Pmt (Opt 3)'!BE18</f>
        <v>10929479.48</v>
      </c>
      <c r="J19" s="547" t="s">
        <v>705</v>
      </c>
      <c r="K19" s="540">
        <f t="shared" si="9"/>
        <v>10929479.48</v>
      </c>
      <c r="L19" s="124"/>
      <c r="M19" s="471">
        <f t="shared" si="0"/>
        <v>2212506.5442180601</v>
      </c>
      <c r="N19" s="555">
        <f t="shared" si="10"/>
        <v>12246731.905273672</v>
      </c>
      <c r="O19" s="559">
        <f t="shared" si="1"/>
        <v>1317252.4252736717</v>
      </c>
      <c r="P19" s="442">
        <f t="shared" si="2"/>
        <v>0.84698318988605981</v>
      </c>
      <c r="Q19" s="124">
        <f>M19/ITA!B17*1000</f>
        <v>97.78489447364106</v>
      </c>
      <c r="R19" s="124"/>
      <c r="S19" s="393">
        <f t="shared" si="3"/>
        <v>0</v>
      </c>
      <c r="T19" s="374">
        <f t="shared" si="4"/>
        <v>12246731.905273672</v>
      </c>
      <c r="U19" s="374">
        <f t="shared" si="5"/>
        <v>1317252.4252736717</v>
      </c>
      <c r="V19" s="79">
        <f t="shared" si="6"/>
        <v>0.84698318988605981</v>
      </c>
      <c r="W19" s="180">
        <f t="shared" si="7"/>
        <v>2212506.5442180596</v>
      </c>
      <c r="X19" s="124">
        <f>W19/ITA!B17*1000</f>
        <v>97.784894473641032</v>
      </c>
    </row>
    <row r="20" spans="1:24" x14ac:dyDescent="0.25">
      <c r="A20" s="125" t="s">
        <v>17</v>
      </c>
      <c r="B20" s="126">
        <v>21287.25</v>
      </c>
      <c r="C20" s="127">
        <f>ITA!G18</f>
        <v>7.6190259689291634E-2</v>
      </c>
      <c r="D20" s="382">
        <f>'Total Inst. Cost'!G18</f>
        <v>123173614.89842042</v>
      </c>
      <c r="E20" s="546" t="s">
        <v>705</v>
      </c>
      <c r="F20" s="384">
        <f>'District Services'!K27</f>
        <v>4077752.1450276757</v>
      </c>
      <c r="G20" s="405">
        <f t="shared" si="8"/>
        <v>127251367.04344811</v>
      </c>
      <c r="H20" s="134"/>
      <c r="I20" s="382">
        <f>'FY 19 State Pmt (Opt 3)'!BE19</f>
        <v>37508320.710000001</v>
      </c>
      <c r="J20" s="546" t="s">
        <v>705</v>
      </c>
      <c r="K20" s="539">
        <f t="shared" si="9"/>
        <v>37508320.710000001</v>
      </c>
      <c r="L20" s="134"/>
      <c r="M20" s="469">
        <f t="shared" si="0"/>
        <v>113616206.24289596</v>
      </c>
      <c r="N20" s="554">
        <f t="shared" si="10"/>
        <v>13635160.800552145</v>
      </c>
      <c r="O20" s="560">
        <f t="shared" si="1"/>
        <v>-23873159.909447856</v>
      </c>
      <c r="P20" s="441">
        <f t="shared" si="2"/>
        <v>0.10715138954771794</v>
      </c>
      <c r="Q20" s="134">
        <f>M20/ITA!B18*1000</f>
        <v>89.981064422293201</v>
      </c>
      <c r="R20" s="134"/>
      <c r="S20" s="392">
        <f t="shared" si="3"/>
        <v>23873159.909447856</v>
      </c>
      <c r="T20" s="373">
        <f t="shared" si="4"/>
        <v>37508320.710000001</v>
      </c>
      <c r="U20" s="373">
        <f t="shared" si="5"/>
        <v>0</v>
      </c>
      <c r="V20" s="132">
        <f t="shared" si="6"/>
        <v>0.29475770344528668</v>
      </c>
      <c r="W20" s="181">
        <f t="shared" si="7"/>
        <v>89743046.333448112</v>
      </c>
      <c r="X20" s="134">
        <f>W20/ITA!B18*1000</f>
        <v>71.074146027365288</v>
      </c>
    </row>
    <row r="21" spans="1:24" x14ac:dyDescent="0.25">
      <c r="A21" s="123" t="s">
        <v>18</v>
      </c>
      <c r="B21" s="47">
        <v>34520.18</v>
      </c>
      <c r="C21" s="73">
        <f>ITA!G19</f>
        <v>3.8589631444395145E-2</v>
      </c>
      <c r="D21" s="379">
        <f>'Total Inst. Cost'!G19</f>
        <v>200496627.66509283</v>
      </c>
      <c r="E21" s="547" t="s">
        <v>705</v>
      </c>
      <c r="F21" s="381">
        <f>'District Services'!K28</f>
        <v>4636368.3950841073</v>
      </c>
      <c r="G21" s="406">
        <f t="shared" si="8"/>
        <v>205132996.06017694</v>
      </c>
      <c r="H21" s="124"/>
      <c r="I21" s="379">
        <f>'FY 19 State Pmt (Opt 3)'!BE20</f>
        <v>146422483.28000006</v>
      </c>
      <c r="J21" s="547" t="s">
        <v>705</v>
      </c>
      <c r="K21" s="540">
        <f t="shared" si="9"/>
        <v>146422483.28000006</v>
      </c>
      <c r="L21" s="124"/>
      <c r="M21" s="471">
        <f t="shared" si="0"/>
        <v>57545512.286001042</v>
      </c>
      <c r="N21" s="555">
        <f t="shared" si="10"/>
        <v>147587483.77417588</v>
      </c>
      <c r="O21" s="559">
        <f t="shared" si="1"/>
        <v>1165000.4941758215</v>
      </c>
      <c r="P21" s="442">
        <f t="shared" si="2"/>
        <v>0.71947217955555165</v>
      </c>
      <c r="Q21" s="124">
        <f>M21/ITA!B19*1000</f>
        <v>88.093087977039062</v>
      </c>
      <c r="R21" s="124"/>
      <c r="S21" s="393">
        <f t="shared" si="3"/>
        <v>0</v>
      </c>
      <c r="T21" s="374">
        <f t="shared" si="4"/>
        <v>147587483.77417588</v>
      </c>
      <c r="U21" s="374">
        <f t="shared" si="5"/>
        <v>1165000.4941758215</v>
      </c>
      <c r="V21" s="79">
        <f t="shared" si="6"/>
        <v>0.71947217955555165</v>
      </c>
      <c r="W21" s="180">
        <f t="shared" si="7"/>
        <v>57545512.286001056</v>
      </c>
      <c r="X21" s="124">
        <f>W21/ITA!B19*1000</f>
        <v>88.09308797703909</v>
      </c>
    </row>
    <row r="22" spans="1:24" x14ac:dyDescent="0.25">
      <c r="A22" s="125" t="s">
        <v>19</v>
      </c>
      <c r="B22" s="126">
        <v>1587.18</v>
      </c>
      <c r="C22" s="127">
        <f>ITA!G20</f>
        <v>3.6454663752017577E-3</v>
      </c>
      <c r="D22" s="382">
        <f>'Total Inst. Cost'!G20</f>
        <v>9974057.7382178698</v>
      </c>
      <c r="E22" s="546" t="s">
        <v>705</v>
      </c>
      <c r="F22" s="384">
        <f>'District Services'!K29</f>
        <v>1183162.9587093696</v>
      </c>
      <c r="G22" s="405">
        <f t="shared" si="8"/>
        <v>11157220.69692724</v>
      </c>
      <c r="H22" s="134"/>
      <c r="I22" s="382">
        <f>'FY 19 State Pmt (Opt 3)'!BE21</f>
        <v>5358451.2899999982</v>
      </c>
      <c r="J22" s="546" t="s">
        <v>705</v>
      </c>
      <c r="K22" s="539">
        <f t="shared" si="9"/>
        <v>5358451.2899999982</v>
      </c>
      <c r="L22" s="134"/>
      <c r="M22" s="469">
        <f t="shared" si="0"/>
        <v>5436181.2287493469</v>
      </c>
      <c r="N22" s="554">
        <f t="shared" si="10"/>
        <v>5721039.4681778932</v>
      </c>
      <c r="O22" s="560">
        <f t="shared" si="1"/>
        <v>362588.17817789502</v>
      </c>
      <c r="P22" s="441">
        <f t="shared" si="2"/>
        <v>0.51276564509954514</v>
      </c>
      <c r="Q22" s="134">
        <f>M22/ITA!B20*1000</f>
        <v>82.282151511314979</v>
      </c>
      <c r="R22" s="134"/>
      <c r="S22" s="392">
        <f t="shared" si="3"/>
        <v>0</v>
      </c>
      <c r="T22" s="373">
        <f t="shared" si="4"/>
        <v>5721039.4681778932</v>
      </c>
      <c r="U22" s="373">
        <f t="shared" si="5"/>
        <v>362588.17817789502</v>
      </c>
      <c r="V22" s="132">
        <f t="shared" si="6"/>
        <v>0.51276564509954514</v>
      </c>
      <c r="W22" s="181">
        <f t="shared" si="7"/>
        <v>5436181.2287493469</v>
      </c>
      <c r="X22" s="134">
        <f>W22/ITA!B20*1000</f>
        <v>82.282151511314979</v>
      </c>
    </row>
    <row r="23" spans="1:24" x14ac:dyDescent="0.25">
      <c r="A23" s="123" t="s">
        <v>20</v>
      </c>
      <c r="B23" s="47">
        <v>46485.36</v>
      </c>
      <c r="C23" s="73">
        <f>ITA!G21</f>
        <v>0.13594156612751304</v>
      </c>
      <c r="D23" s="379">
        <f>'Total Inst. Cost'!G21</f>
        <v>263670291.25483599</v>
      </c>
      <c r="E23" s="547" t="s">
        <v>705</v>
      </c>
      <c r="F23" s="381">
        <f>'District Services'!K30</f>
        <v>5072409.4899968803</v>
      </c>
      <c r="G23" s="404">
        <f t="shared" si="8"/>
        <v>268742700.74483287</v>
      </c>
      <c r="H23" s="124"/>
      <c r="I23" s="379">
        <f>'FY 19 State Pmt (Opt 3)'!BE22</f>
        <v>105566645.34000003</v>
      </c>
      <c r="J23" s="547" t="s">
        <v>705</v>
      </c>
      <c r="K23" s="540">
        <f t="shared" si="9"/>
        <v>105566645.34000003</v>
      </c>
      <c r="L23" s="124"/>
      <c r="M23" s="471">
        <f t="shared" si="0"/>
        <v>202718366.85046217</v>
      </c>
      <c r="N23" s="555">
        <f t="shared" si="10"/>
        <v>66024333.894370705</v>
      </c>
      <c r="O23" s="559">
        <f t="shared" si="1"/>
        <v>-39542311.445629328</v>
      </c>
      <c r="P23" s="442">
        <f t="shared" si="2"/>
        <v>0.24567861270792174</v>
      </c>
      <c r="Q23" s="124">
        <f>M23/ITA!B21*1000</f>
        <v>87.006670062859328</v>
      </c>
      <c r="R23" s="124"/>
      <c r="S23" s="393">
        <f t="shared" si="3"/>
        <v>39542311.445629328</v>
      </c>
      <c r="T23" s="374">
        <f t="shared" si="4"/>
        <v>105566645.34000003</v>
      </c>
      <c r="U23" s="374">
        <f t="shared" si="5"/>
        <v>0</v>
      </c>
      <c r="V23" s="79">
        <f t="shared" si="6"/>
        <v>0.39281679110694795</v>
      </c>
      <c r="W23" s="180">
        <f t="shared" si="7"/>
        <v>163176055.40483284</v>
      </c>
      <c r="X23" s="124">
        <f>W23/ITA!B21*1000</f>
        <v>70.03512032651706</v>
      </c>
    </row>
    <row r="24" spans="1:24" x14ac:dyDescent="0.25">
      <c r="A24" s="125" t="s">
        <v>21</v>
      </c>
      <c r="B24" s="126">
        <v>8259.2199999999993</v>
      </c>
      <c r="C24" s="127">
        <f>ITA!G22</f>
        <v>9.237424507078755E-3</v>
      </c>
      <c r="D24" s="382">
        <f>'Total Inst. Cost'!G22</f>
        <v>49882694.83583156</v>
      </c>
      <c r="E24" s="546" t="s">
        <v>705</v>
      </c>
      <c r="F24" s="384">
        <f>'District Services'!K31</f>
        <v>2219873.6794466879</v>
      </c>
      <c r="G24" s="405">
        <f t="shared" si="8"/>
        <v>52102568.51527825</v>
      </c>
      <c r="H24" s="134"/>
      <c r="I24" s="382">
        <f>'FY 19 State Pmt (Opt 3)'!BE23</f>
        <v>37731739.369999997</v>
      </c>
      <c r="J24" s="546" t="s">
        <v>705</v>
      </c>
      <c r="K24" s="539">
        <f t="shared" si="9"/>
        <v>37731739.369999997</v>
      </c>
      <c r="L24" s="134"/>
      <c r="M24" s="469">
        <f t="shared" si="0"/>
        <v>13775003.947085235</v>
      </c>
      <c r="N24" s="554">
        <f t="shared" si="10"/>
        <v>38327564.568193018</v>
      </c>
      <c r="O24" s="560">
        <f t="shared" si="1"/>
        <v>595825.19819302112</v>
      </c>
      <c r="P24" s="441">
        <f t="shared" si="2"/>
        <v>0.73561756474547069</v>
      </c>
      <c r="Q24" s="134">
        <f>M24/ITA!B22*1000</f>
        <v>90.955257580397074</v>
      </c>
      <c r="R24" s="134"/>
      <c r="S24" s="392">
        <f t="shared" si="3"/>
        <v>0</v>
      </c>
      <c r="T24" s="373">
        <f t="shared" si="4"/>
        <v>38327564.568193018</v>
      </c>
      <c r="U24" s="373">
        <f t="shared" si="5"/>
        <v>595825.19819302112</v>
      </c>
      <c r="V24" s="132">
        <f t="shared" si="6"/>
        <v>0.73561756474547069</v>
      </c>
      <c r="W24" s="181">
        <f t="shared" si="7"/>
        <v>13775003.947085232</v>
      </c>
      <c r="X24" s="134">
        <f>W24/ITA!B22*1000</f>
        <v>90.95525758039706</v>
      </c>
    </row>
    <row r="25" spans="1:24" x14ac:dyDescent="0.25">
      <c r="A25" s="123" t="s">
        <v>22</v>
      </c>
      <c r="B25" s="47">
        <v>4970.04</v>
      </c>
      <c r="C25" s="73">
        <f>ITA!G23</f>
        <v>4.9144132144377378E-3</v>
      </c>
      <c r="D25" s="379">
        <f>'Total Inst. Cost'!G23</f>
        <v>30267058.135236464</v>
      </c>
      <c r="E25" s="547" t="s">
        <v>705</v>
      </c>
      <c r="F25" s="381">
        <f>'District Services'!K32</f>
        <v>1328687.3924386536</v>
      </c>
      <c r="G25" s="406">
        <f t="shared" si="8"/>
        <v>31595745.527675118</v>
      </c>
      <c r="H25" s="124"/>
      <c r="I25" s="379">
        <f>'FY 19 State Pmt (Opt 3)'!BE24</f>
        <v>23330835.95999999</v>
      </c>
      <c r="J25" s="547" t="s">
        <v>705</v>
      </c>
      <c r="K25" s="540">
        <f t="shared" si="9"/>
        <v>23330835.95999999</v>
      </c>
      <c r="L25" s="124"/>
      <c r="M25" s="471">
        <f t="shared" si="0"/>
        <v>7328456.2568940436</v>
      </c>
      <c r="N25" s="555">
        <f t="shared" si="10"/>
        <v>24267289.270781074</v>
      </c>
      <c r="O25" s="559">
        <f t="shared" si="1"/>
        <v>936453.310781084</v>
      </c>
      <c r="P25" s="442">
        <f t="shared" si="2"/>
        <v>0.76805559943268453</v>
      </c>
      <c r="Q25" s="124">
        <f>M25/ITA!B23*1000</f>
        <v>89.402562567028454</v>
      </c>
      <c r="R25" s="124"/>
      <c r="S25" s="393">
        <f t="shared" si="3"/>
        <v>0</v>
      </c>
      <c r="T25" s="374">
        <f t="shared" si="4"/>
        <v>24267289.270781074</v>
      </c>
      <c r="U25" s="374">
        <f t="shared" si="5"/>
        <v>936453.310781084</v>
      </c>
      <c r="V25" s="79">
        <f t="shared" si="6"/>
        <v>0.76805559943268453</v>
      </c>
      <c r="W25" s="180">
        <f t="shared" si="7"/>
        <v>7328456.2568940446</v>
      </c>
      <c r="X25" s="124">
        <f>W25/ITA!B23*1000</f>
        <v>89.402562567028468</v>
      </c>
    </row>
    <row r="26" spans="1:24" x14ac:dyDescent="0.25">
      <c r="A26" s="125" t="s">
        <v>23</v>
      </c>
      <c r="B26" s="126">
        <v>6691.02</v>
      </c>
      <c r="C26" s="127">
        <f>ITA!G24</f>
        <v>5.7820265605913719E-3</v>
      </c>
      <c r="D26" s="382">
        <f>'Total Inst. Cost'!G24</f>
        <v>40588993.905945361</v>
      </c>
      <c r="E26" s="546" t="s">
        <v>705</v>
      </c>
      <c r="F26" s="384">
        <f>'District Services'!K33</f>
        <v>1697133.2733241688</v>
      </c>
      <c r="G26" s="405">
        <f t="shared" si="8"/>
        <v>42286127.17926953</v>
      </c>
      <c r="H26" s="134"/>
      <c r="I26" s="382">
        <f>'FY 19 State Pmt (Opt 3)'!BE25</f>
        <v>32325644.269999996</v>
      </c>
      <c r="J26" s="546" t="s">
        <v>705</v>
      </c>
      <c r="K26" s="539">
        <f t="shared" si="9"/>
        <v>32325644.269999996</v>
      </c>
      <c r="L26" s="134"/>
      <c r="M26" s="469">
        <f t="shared" si="0"/>
        <v>8622255.9798202384</v>
      </c>
      <c r="N26" s="554">
        <f t="shared" si="10"/>
        <v>33663871.199449293</v>
      </c>
      <c r="O26" s="560">
        <f t="shared" si="1"/>
        <v>1338226.9294492975</v>
      </c>
      <c r="P26" s="441">
        <f t="shared" si="2"/>
        <v>0.79609728875697949</v>
      </c>
      <c r="Q26" s="134">
        <f>M26/ITA!B24*1000</f>
        <v>90.003141768174558</v>
      </c>
      <c r="R26" s="134"/>
      <c r="S26" s="392">
        <f t="shared" si="3"/>
        <v>0</v>
      </c>
      <c r="T26" s="373">
        <f t="shared" si="4"/>
        <v>33663871.199449293</v>
      </c>
      <c r="U26" s="373">
        <f t="shared" si="5"/>
        <v>1338226.9294492975</v>
      </c>
      <c r="V26" s="132">
        <f t="shared" si="6"/>
        <v>0.79609728875697949</v>
      </c>
      <c r="W26" s="181">
        <f t="shared" si="7"/>
        <v>8622255.9798202366</v>
      </c>
      <c r="X26" s="134">
        <f>W26/ITA!B24*1000</f>
        <v>90.00314176817453</v>
      </c>
    </row>
    <row r="27" spans="1:24" x14ac:dyDescent="0.25">
      <c r="A27" s="123" t="s">
        <v>24</v>
      </c>
      <c r="B27" s="47">
        <v>710.4</v>
      </c>
      <c r="C27" s="73">
        <f>ITA!G25</f>
        <v>1.3632457538102244E-3</v>
      </c>
      <c r="D27" s="379">
        <f>'Total Inst. Cost'!G25</f>
        <v>4724198.6730411975</v>
      </c>
      <c r="E27" s="547" t="s">
        <v>705</v>
      </c>
      <c r="F27" s="381">
        <f>'District Services'!K34</f>
        <v>1146111.5216626299</v>
      </c>
      <c r="G27" s="404">
        <f t="shared" si="8"/>
        <v>5870310.1947038276</v>
      </c>
      <c r="H27" s="124"/>
      <c r="I27" s="379">
        <f>'FY 19 State Pmt (Opt 3)'!BE26</f>
        <v>3345389.55</v>
      </c>
      <c r="J27" s="547" t="s">
        <v>705</v>
      </c>
      <c r="K27" s="540">
        <f t="shared" si="9"/>
        <v>3345389.55</v>
      </c>
      <c r="L27" s="124"/>
      <c r="M27" s="471">
        <f t="shared" si="0"/>
        <v>2032895.1673913721</v>
      </c>
      <c r="N27" s="555">
        <f t="shared" si="10"/>
        <v>3837415.0273124557</v>
      </c>
      <c r="O27" s="559">
        <f t="shared" si="1"/>
        <v>492025.47731245589</v>
      </c>
      <c r="P27" s="442">
        <f t="shared" si="2"/>
        <v>0.65369885066287592</v>
      </c>
      <c r="Q27" s="124">
        <f>M27/ITA!B25*1000</f>
        <v>86.211177361116285</v>
      </c>
      <c r="R27" s="124"/>
      <c r="S27" s="393">
        <f t="shared" si="3"/>
        <v>0</v>
      </c>
      <c r="T27" s="374">
        <f t="shared" si="4"/>
        <v>3837415.0273124557</v>
      </c>
      <c r="U27" s="374">
        <f t="shared" si="5"/>
        <v>492025.47731245589</v>
      </c>
      <c r="V27" s="79">
        <f t="shared" si="6"/>
        <v>0.65369885066287592</v>
      </c>
      <c r="W27" s="180">
        <f t="shared" si="7"/>
        <v>2032895.1673913719</v>
      </c>
      <c r="X27" s="124">
        <f>W27/ITA!B25*1000</f>
        <v>86.21117736111627</v>
      </c>
    </row>
    <row r="28" spans="1:24" x14ac:dyDescent="0.25">
      <c r="A28" s="125" t="s">
        <v>25</v>
      </c>
      <c r="B28" s="126">
        <v>2753.54</v>
      </c>
      <c r="C28" s="127">
        <f>ITA!G26</f>
        <v>2.3861619421908253E-3</v>
      </c>
      <c r="D28" s="382">
        <f>'Total Inst. Cost'!G26</f>
        <v>17790424.619491991</v>
      </c>
      <c r="E28" s="546" t="s">
        <v>705</v>
      </c>
      <c r="F28" s="384">
        <f>'District Services'!K35</f>
        <v>1240091.2506236869</v>
      </c>
      <c r="G28" s="405">
        <f t="shared" si="8"/>
        <v>19030515.870115679</v>
      </c>
      <c r="H28" s="134"/>
      <c r="I28" s="382">
        <f>'FY 19 State Pmt (Opt 3)'!BE27</f>
        <v>14002008.780000003</v>
      </c>
      <c r="J28" s="546" t="s">
        <v>705</v>
      </c>
      <c r="K28" s="539">
        <f t="shared" si="9"/>
        <v>14002008.780000003</v>
      </c>
      <c r="L28" s="134"/>
      <c r="M28" s="469">
        <f t="shared" si="0"/>
        <v>3558285.1201517219</v>
      </c>
      <c r="N28" s="554">
        <f t="shared" si="10"/>
        <v>15472230.749963958</v>
      </c>
      <c r="O28" s="560">
        <f t="shared" si="1"/>
        <v>1470221.9699639548</v>
      </c>
      <c r="P28" s="441">
        <f t="shared" si="2"/>
        <v>0.81302214062733702</v>
      </c>
      <c r="Q28" s="134">
        <f>M28/ITA!B26*1000</f>
        <v>96.058155074023958</v>
      </c>
      <c r="R28" s="134"/>
      <c r="S28" s="392">
        <f t="shared" si="3"/>
        <v>0</v>
      </c>
      <c r="T28" s="373">
        <f t="shared" si="4"/>
        <v>15472230.749963958</v>
      </c>
      <c r="U28" s="373">
        <f t="shared" si="5"/>
        <v>1470221.9699639548</v>
      </c>
      <c r="V28" s="132">
        <f t="shared" si="6"/>
        <v>0.81302214062733702</v>
      </c>
      <c r="W28" s="181">
        <f t="shared" si="7"/>
        <v>3558285.1201517209</v>
      </c>
      <c r="X28" s="134">
        <f>W28/ITA!B26*1000</f>
        <v>96.058155074023929</v>
      </c>
    </row>
    <row r="29" spans="1:24" x14ac:dyDescent="0.25">
      <c r="A29" s="123" t="s">
        <v>26</v>
      </c>
      <c r="B29" s="47">
        <v>1253.3399999999999</v>
      </c>
      <c r="C29" s="73">
        <f>ITA!G27</f>
        <v>4.1222065679709304E-4</v>
      </c>
      <c r="D29" s="379">
        <f>'Total Inst. Cost'!G27</f>
        <v>7431779.581042923</v>
      </c>
      <c r="E29" s="547" t="s">
        <v>705</v>
      </c>
      <c r="F29" s="381">
        <f>'District Services'!K36</f>
        <v>1164888.1855043925</v>
      </c>
      <c r="G29" s="406">
        <f t="shared" si="8"/>
        <v>8596667.7665473148</v>
      </c>
      <c r="H29" s="124"/>
      <c r="I29" s="379">
        <f>'FY 19 State Pmt (Opt 3)'!BE28</f>
        <v>6760653.8199999994</v>
      </c>
      <c r="J29" s="547" t="s">
        <v>705</v>
      </c>
      <c r="K29" s="540">
        <f t="shared" si="9"/>
        <v>6760653.8199999994</v>
      </c>
      <c r="L29" s="124"/>
      <c r="M29" s="471">
        <f t="shared" si="0"/>
        <v>614710.42822581553</v>
      </c>
      <c r="N29" s="555">
        <f t="shared" si="10"/>
        <v>7981957.3383214995</v>
      </c>
      <c r="O29" s="559">
        <f t="shared" si="1"/>
        <v>1221303.5183215002</v>
      </c>
      <c r="P29" s="442">
        <f t="shared" si="2"/>
        <v>0.92849433700138184</v>
      </c>
      <c r="Q29" s="124">
        <f>M29/ITA!B27*1000</f>
        <v>100.44379952264524</v>
      </c>
      <c r="R29" s="124"/>
      <c r="S29" s="393">
        <f t="shared" si="3"/>
        <v>0</v>
      </c>
      <c r="T29" s="374">
        <f t="shared" si="4"/>
        <v>7981957.3383214995</v>
      </c>
      <c r="U29" s="374">
        <f t="shared" si="5"/>
        <v>1221303.5183215002</v>
      </c>
      <c r="V29" s="79">
        <f t="shared" si="6"/>
        <v>0.92849433700138184</v>
      </c>
      <c r="W29" s="180">
        <f t="shared" si="7"/>
        <v>614710.4282258153</v>
      </c>
      <c r="X29" s="124">
        <f>W29/ITA!B27*1000</f>
        <v>100.44379952264519</v>
      </c>
    </row>
    <row r="30" spans="1:24" x14ac:dyDescent="0.25">
      <c r="A30" s="125" t="s">
        <v>27</v>
      </c>
      <c r="B30" s="126">
        <v>5263.6</v>
      </c>
      <c r="C30" s="127">
        <f>ITA!G28</f>
        <v>8.1147829354936279E-3</v>
      </c>
      <c r="D30" s="382">
        <f>'Total Inst. Cost'!G28</f>
        <v>33538710.132798426</v>
      </c>
      <c r="E30" s="546" t="s">
        <v>705</v>
      </c>
      <c r="F30" s="384">
        <f>'District Services'!K37</f>
        <v>1350300.2392805484</v>
      </c>
      <c r="G30" s="405">
        <f t="shared" si="8"/>
        <v>34889010.372078978</v>
      </c>
      <c r="H30" s="134"/>
      <c r="I30" s="382">
        <f>'FY 19 State Pmt (Opt 3)'!BE29</f>
        <v>22351498.729999997</v>
      </c>
      <c r="J30" s="546" t="s">
        <v>705</v>
      </c>
      <c r="K30" s="539">
        <f t="shared" si="9"/>
        <v>22351498.729999997</v>
      </c>
      <c r="L30" s="134"/>
      <c r="M30" s="469">
        <f t="shared" si="0"/>
        <v>12100901.813108765</v>
      </c>
      <c r="N30" s="554">
        <f t="shared" si="10"/>
        <v>22788108.558970213</v>
      </c>
      <c r="O30" s="560">
        <f t="shared" si="1"/>
        <v>436609.82897021621</v>
      </c>
      <c r="P30" s="441">
        <f t="shared" si="2"/>
        <v>0.6531600729267778</v>
      </c>
      <c r="Q30" s="134">
        <f>M30/ITA!B28*1000</f>
        <v>87.52360466332938</v>
      </c>
      <c r="R30" s="134"/>
      <c r="S30" s="392">
        <f t="shared" si="3"/>
        <v>0</v>
      </c>
      <c r="T30" s="373">
        <f t="shared" si="4"/>
        <v>22788108.558970213</v>
      </c>
      <c r="U30" s="373">
        <f t="shared" si="5"/>
        <v>436609.82897021621</v>
      </c>
      <c r="V30" s="132">
        <f t="shared" si="6"/>
        <v>0.6531600729267778</v>
      </c>
      <c r="W30" s="181">
        <f t="shared" si="7"/>
        <v>12100901.813108765</v>
      </c>
      <c r="X30" s="134">
        <f>W30/ITA!B28*1000</f>
        <v>87.52360466332938</v>
      </c>
    </row>
    <row r="31" spans="1:24" x14ac:dyDescent="0.25">
      <c r="A31" s="123" t="s">
        <v>28</v>
      </c>
      <c r="B31" s="47">
        <v>9606.7099999999991</v>
      </c>
      <c r="C31" s="73">
        <f>ITA!G29</f>
        <v>1.1220746904667525E-2</v>
      </c>
      <c r="D31" s="379">
        <f>'Total Inst. Cost'!G29</f>
        <v>58793603.760916986</v>
      </c>
      <c r="E31" s="547" t="s">
        <v>705</v>
      </c>
      <c r="F31" s="381">
        <f>'District Services'!K38</f>
        <v>2588282.2874667956</v>
      </c>
      <c r="G31" s="404">
        <f t="shared" si="8"/>
        <v>61381886.04838378</v>
      </c>
      <c r="H31" s="124"/>
      <c r="I31" s="379">
        <f>'FY 19 State Pmt (Opt 3)'!BE30</f>
        <v>43265847.820000008</v>
      </c>
      <c r="J31" s="547" t="s">
        <v>705</v>
      </c>
      <c r="K31" s="540">
        <f t="shared" si="9"/>
        <v>43265847.820000008</v>
      </c>
      <c r="L31" s="124"/>
      <c r="M31" s="471">
        <f t="shared" si="0"/>
        <v>16732567.912473205</v>
      </c>
      <c r="N31" s="555">
        <f t="shared" si="10"/>
        <v>44649318.135910571</v>
      </c>
      <c r="O31" s="559">
        <f t="shared" si="1"/>
        <v>1383470.3159105629</v>
      </c>
      <c r="P31" s="442">
        <f t="shared" si="2"/>
        <v>0.72740218670889489</v>
      </c>
      <c r="Q31" s="124">
        <f>M31/ITA!B29*1000</f>
        <v>87.682415890283465</v>
      </c>
      <c r="R31" s="124"/>
      <c r="S31" s="393">
        <f t="shared" si="3"/>
        <v>0</v>
      </c>
      <c r="T31" s="374">
        <f t="shared" si="4"/>
        <v>44649318.135910571</v>
      </c>
      <c r="U31" s="374">
        <f t="shared" si="5"/>
        <v>1383470.3159105629</v>
      </c>
      <c r="V31" s="79">
        <f t="shared" si="6"/>
        <v>0.72740218670889489</v>
      </c>
      <c r="W31" s="180">
        <f t="shared" si="7"/>
        <v>16732567.912473209</v>
      </c>
      <c r="X31" s="124">
        <f>W31/ITA!B29*1000</f>
        <v>87.682415890283494</v>
      </c>
    </row>
    <row r="32" spans="1:24" x14ac:dyDescent="0.25">
      <c r="A32" s="125" t="s">
        <v>29</v>
      </c>
      <c r="B32" s="126">
        <v>1528.03</v>
      </c>
      <c r="C32" s="127">
        <f>ITA!G30</f>
        <v>8.6402241337436999E-4</v>
      </c>
      <c r="D32" s="382">
        <f>'Total Inst. Cost'!G30</f>
        <v>9145971.510493394</v>
      </c>
      <c r="E32" s="546" t="s">
        <v>705</v>
      </c>
      <c r="F32" s="384">
        <f>'District Services'!K39</f>
        <v>1176788.841172002</v>
      </c>
      <c r="G32" s="405">
        <f t="shared" si="8"/>
        <v>10322760.351665396</v>
      </c>
      <c r="H32" s="134"/>
      <c r="I32" s="382">
        <f>'FY 19 State Pmt (Opt 3)'!BE31</f>
        <v>8054156.7200000007</v>
      </c>
      <c r="J32" s="546" t="s">
        <v>705</v>
      </c>
      <c r="K32" s="539">
        <f t="shared" si="9"/>
        <v>8054156.7200000007</v>
      </c>
      <c r="L32" s="134"/>
      <c r="M32" s="469">
        <f t="shared" si="0"/>
        <v>1288444.8631197442</v>
      </c>
      <c r="N32" s="554">
        <f t="shared" si="10"/>
        <v>9034315.4885456525</v>
      </c>
      <c r="O32" s="560">
        <f t="shared" si="1"/>
        <v>980158.76854565181</v>
      </c>
      <c r="P32" s="441">
        <f t="shared" si="2"/>
        <v>0.87518407681411725</v>
      </c>
      <c r="Q32" s="134">
        <f>M32/ITA!B30*1000</f>
        <v>93.373966682057727</v>
      </c>
      <c r="R32" s="134"/>
      <c r="S32" s="392">
        <f t="shared" si="3"/>
        <v>0</v>
      </c>
      <c r="T32" s="373">
        <f t="shared" si="4"/>
        <v>9034315.4885456525</v>
      </c>
      <c r="U32" s="373">
        <f t="shared" si="5"/>
        <v>980158.76854565181</v>
      </c>
      <c r="V32" s="132">
        <f t="shared" si="6"/>
        <v>0.87518407681411725</v>
      </c>
      <c r="W32" s="181">
        <f t="shared" si="7"/>
        <v>1288444.8631197438</v>
      </c>
      <c r="X32" s="134">
        <f>W32/ITA!B30*1000</f>
        <v>93.373966682057684</v>
      </c>
    </row>
    <row r="33" spans="1:24" x14ac:dyDescent="0.25">
      <c r="A33" s="123" t="s">
        <v>30</v>
      </c>
      <c r="B33" s="47">
        <v>3982.19</v>
      </c>
      <c r="C33" s="73">
        <f>ITA!G31</f>
        <v>2.6152754021293435E-3</v>
      </c>
      <c r="D33" s="379">
        <f>'Total Inst. Cost'!G31</f>
        <v>23718473.483735744</v>
      </c>
      <c r="E33" s="547" t="s">
        <v>705</v>
      </c>
      <c r="F33" s="381">
        <f>'District Services'!K40</f>
        <v>1282296.7979726929</v>
      </c>
      <c r="G33" s="406">
        <f t="shared" si="8"/>
        <v>25000770.281708438</v>
      </c>
      <c r="H33" s="124"/>
      <c r="I33" s="379">
        <f>'FY 19 State Pmt (Opt 3)'!BE32</f>
        <v>19630076.039999995</v>
      </c>
      <c r="J33" s="547" t="s">
        <v>705</v>
      </c>
      <c r="K33" s="540">
        <f t="shared" si="9"/>
        <v>19630076.039999995</v>
      </c>
      <c r="L33" s="124"/>
      <c r="M33" s="471">
        <f t="shared" si="0"/>
        <v>3899942.9937900864</v>
      </c>
      <c r="N33" s="555">
        <f t="shared" si="10"/>
        <v>21100827.287918352</v>
      </c>
      <c r="O33" s="559">
        <f t="shared" si="1"/>
        <v>1470751.2479183562</v>
      </c>
      <c r="P33" s="442">
        <f t="shared" si="2"/>
        <v>0.84400708658791046</v>
      </c>
      <c r="Q33" s="124">
        <f>M33/ITA!B31*1000</f>
        <v>94.134492827922998</v>
      </c>
      <c r="R33" s="124"/>
      <c r="S33" s="393">
        <f t="shared" si="3"/>
        <v>0</v>
      </c>
      <c r="T33" s="374">
        <f t="shared" si="4"/>
        <v>21100827.287918352</v>
      </c>
      <c r="U33" s="374">
        <f t="shared" si="5"/>
        <v>1470751.2479183562</v>
      </c>
      <c r="V33" s="79">
        <f t="shared" si="6"/>
        <v>0.84400708658791046</v>
      </c>
      <c r="W33" s="180">
        <f t="shared" si="7"/>
        <v>3899942.9937900864</v>
      </c>
      <c r="X33" s="124">
        <f>W33/ITA!B31*1000</f>
        <v>94.134492827922998</v>
      </c>
    </row>
    <row r="34" spans="1:24" x14ac:dyDescent="0.25">
      <c r="A34" s="125" t="s">
        <v>31</v>
      </c>
      <c r="B34" s="126">
        <v>25440.37</v>
      </c>
      <c r="C34" s="127">
        <f>ITA!G32</f>
        <v>2.0164417003835807E-2</v>
      </c>
      <c r="D34" s="382">
        <f>'Total Inst. Cost'!G32</f>
        <v>145638287.39121538</v>
      </c>
      <c r="E34" s="546" t="s">
        <v>705</v>
      </c>
      <c r="F34" s="384">
        <f>'District Services'!K41</f>
        <v>4245528.1982150944</v>
      </c>
      <c r="G34" s="405">
        <f t="shared" si="8"/>
        <v>149883815.58943048</v>
      </c>
      <c r="H34" s="134"/>
      <c r="I34" s="382">
        <f>'FY 19 State Pmt (Opt 3)'!BE33</f>
        <v>115592021.10000001</v>
      </c>
      <c r="J34" s="546" t="s">
        <v>705</v>
      </c>
      <c r="K34" s="539">
        <f t="shared" si="9"/>
        <v>115592021.10000001</v>
      </c>
      <c r="L34" s="134"/>
      <c r="M34" s="469">
        <f t="shared" si="0"/>
        <v>30069520.309005622</v>
      </c>
      <c r="N34" s="554">
        <f t="shared" si="10"/>
        <v>119814295.28042486</v>
      </c>
      <c r="O34" s="560">
        <f t="shared" si="1"/>
        <v>4222274.1804248542</v>
      </c>
      <c r="P34" s="441">
        <f t="shared" si="2"/>
        <v>0.79938113937949373</v>
      </c>
      <c r="Q34" s="134">
        <f>M34/ITA!B32*1000</f>
        <v>110.52005107558021</v>
      </c>
      <c r="R34" s="134"/>
      <c r="S34" s="392">
        <f t="shared" si="3"/>
        <v>0</v>
      </c>
      <c r="T34" s="373">
        <f t="shared" si="4"/>
        <v>119814295.28042486</v>
      </c>
      <c r="U34" s="373">
        <f t="shared" si="5"/>
        <v>4222274.1804248542</v>
      </c>
      <c r="V34" s="132">
        <f t="shared" si="6"/>
        <v>0.79938113937949373</v>
      </c>
      <c r="W34" s="181">
        <f t="shared" si="7"/>
        <v>30069520.309005618</v>
      </c>
      <c r="X34" s="134">
        <f>W34/ITA!B32*1000</f>
        <v>110.5200510755802</v>
      </c>
    </row>
    <row r="35" spans="1:24" x14ac:dyDescent="0.25">
      <c r="A35" s="123" t="s">
        <v>32</v>
      </c>
      <c r="B35" s="47">
        <v>2145.29</v>
      </c>
      <c r="C35" s="73">
        <f>ITA!G33</f>
        <v>2.9535022290189685E-3</v>
      </c>
      <c r="D35" s="379">
        <f>'Total Inst. Cost'!G33</f>
        <v>13609514.380308764</v>
      </c>
      <c r="E35" s="547" t="s">
        <v>705</v>
      </c>
      <c r="F35" s="381">
        <f>'District Services'!K42</f>
        <v>1209721.7870783105</v>
      </c>
      <c r="G35" s="404">
        <f t="shared" si="8"/>
        <v>14819236.167387074</v>
      </c>
      <c r="H35" s="124"/>
      <c r="I35" s="379">
        <f>'FY 19 State Pmt (Opt 3)'!BE34</f>
        <v>9630289.4900000021</v>
      </c>
      <c r="J35" s="547" t="s">
        <v>705</v>
      </c>
      <c r="K35" s="540">
        <f t="shared" si="9"/>
        <v>9630289.4900000021</v>
      </c>
      <c r="L35" s="124"/>
      <c r="M35" s="471">
        <f t="shared" si="0"/>
        <v>4404312.5690807309</v>
      </c>
      <c r="N35" s="555">
        <f t="shared" si="10"/>
        <v>10414923.598306343</v>
      </c>
      <c r="O35" s="559">
        <f t="shared" si="1"/>
        <v>784634.10830634087</v>
      </c>
      <c r="P35" s="442">
        <f t="shared" si="2"/>
        <v>0.70279759905754313</v>
      </c>
      <c r="Q35" s="124">
        <f>M35/ITA!B33*1000</f>
        <v>86.944091199867501</v>
      </c>
      <c r="R35" s="124"/>
      <c r="S35" s="393">
        <f t="shared" si="3"/>
        <v>0</v>
      </c>
      <c r="T35" s="374">
        <f t="shared" si="4"/>
        <v>10414923.598306343</v>
      </c>
      <c r="U35" s="374">
        <f t="shared" si="5"/>
        <v>784634.10830634087</v>
      </c>
      <c r="V35" s="79">
        <f t="shared" si="6"/>
        <v>0.70279759905754313</v>
      </c>
      <c r="W35" s="180">
        <f t="shared" si="7"/>
        <v>4404312.5690807309</v>
      </c>
      <c r="X35" s="124">
        <f>W35/ITA!B33*1000</f>
        <v>86.944091199867501</v>
      </c>
    </row>
    <row r="36" spans="1:24" x14ac:dyDescent="0.25">
      <c r="A36" s="125" t="s">
        <v>33</v>
      </c>
      <c r="B36" s="126">
        <v>3224.83</v>
      </c>
      <c r="C36" s="127">
        <f>ITA!G34</f>
        <v>3.323810229206282E-3</v>
      </c>
      <c r="D36" s="382">
        <f>'Total Inst. Cost'!G34</f>
        <v>19085569.61418277</v>
      </c>
      <c r="E36" s="546" t="s">
        <v>705</v>
      </c>
      <c r="F36" s="384">
        <f>'District Services'!K43</f>
        <v>1246481.9607540763</v>
      </c>
      <c r="G36" s="405">
        <f t="shared" si="8"/>
        <v>20332051.574936848</v>
      </c>
      <c r="H36" s="134"/>
      <c r="I36" s="382">
        <f>'FY 19 State Pmt (Opt 3)'!BE35</f>
        <v>14816791.150000004</v>
      </c>
      <c r="J36" s="546" t="s">
        <v>705</v>
      </c>
      <c r="K36" s="539">
        <f t="shared" si="9"/>
        <v>14816791.150000004</v>
      </c>
      <c r="L36" s="134"/>
      <c r="M36" s="469">
        <f t="shared" si="0"/>
        <v>4956522.1335874312</v>
      </c>
      <c r="N36" s="554">
        <f t="shared" si="10"/>
        <v>15375529.441349417</v>
      </c>
      <c r="O36" s="560">
        <f t="shared" si="1"/>
        <v>558738.29134941287</v>
      </c>
      <c r="P36" s="441">
        <f t="shared" si="2"/>
        <v>0.75622124922714173</v>
      </c>
      <c r="Q36" s="134">
        <f>M36/ITA!B34*1000</f>
        <v>99.013903307555637</v>
      </c>
      <c r="R36" s="134"/>
      <c r="S36" s="392">
        <f t="shared" si="3"/>
        <v>0</v>
      </c>
      <c r="T36" s="373">
        <f t="shared" si="4"/>
        <v>15375529.441349417</v>
      </c>
      <c r="U36" s="373">
        <f t="shared" si="5"/>
        <v>558738.29134941287</v>
      </c>
      <c r="V36" s="132">
        <f t="shared" si="6"/>
        <v>0.75622124922714173</v>
      </c>
      <c r="W36" s="181">
        <f t="shared" si="7"/>
        <v>4956522.1335874312</v>
      </c>
      <c r="X36" s="134">
        <f>W36/ITA!B34*1000</f>
        <v>99.013903307555637</v>
      </c>
    </row>
    <row r="37" spans="1:24" x14ac:dyDescent="0.25">
      <c r="A37" s="123" t="s">
        <v>34</v>
      </c>
      <c r="B37" s="47">
        <v>2373.3200000000002</v>
      </c>
      <c r="C37" s="73">
        <f>ITA!G35</f>
        <v>6.4187924085862226E-3</v>
      </c>
      <c r="D37" s="379">
        <f>'Total Inst. Cost'!G35</f>
        <v>15116588.429283798</v>
      </c>
      <c r="E37" s="547" t="s">
        <v>705</v>
      </c>
      <c r="F37" s="381">
        <f>'District Services'!K44</f>
        <v>1220104.7832732918</v>
      </c>
      <c r="G37" s="406">
        <f t="shared" si="8"/>
        <v>16336693.212557089</v>
      </c>
      <c r="H37" s="124"/>
      <c r="I37" s="379">
        <f>'FY 19 State Pmt (Opt 3)'!BE36</f>
        <v>7817158.3300000019</v>
      </c>
      <c r="J37" s="547" t="s">
        <v>705</v>
      </c>
      <c r="K37" s="540">
        <f t="shared" si="9"/>
        <v>7817158.3300000019</v>
      </c>
      <c r="L37" s="124"/>
      <c r="M37" s="471">
        <f t="shared" si="0"/>
        <v>9571812.0019318648</v>
      </c>
      <c r="N37" s="555">
        <f t="shared" si="10"/>
        <v>6764881.2106252238</v>
      </c>
      <c r="O37" s="559">
        <f t="shared" si="1"/>
        <v>-1052277.1193747781</v>
      </c>
      <c r="P37" s="442">
        <f t="shared" si="2"/>
        <v>0.41409121923312142</v>
      </c>
      <c r="Q37" s="124">
        <f>M37/ITA!B35*1000</f>
        <v>77.994893466244378</v>
      </c>
      <c r="R37" s="124"/>
      <c r="S37" s="393">
        <f t="shared" si="3"/>
        <v>1052277.1193747781</v>
      </c>
      <c r="T37" s="374">
        <f t="shared" si="4"/>
        <v>7817158.3300000019</v>
      </c>
      <c r="U37" s="374">
        <f t="shared" si="5"/>
        <v>0</v>
      </c>
      <c r="V37" s="79">
        <f t="shared" si="6"/>
        <v>0.4785030990232097</v>
      </c>
      <c r="W37" s="180">
        <f t="shared" si="7"/>
        <v>8519534.8825570866</v>
      </c>
      <c r="X37" s="124">
        <f>W37/ITA!B35*1000</f>
        <v>69.420525122399155</v>
      </c>
    </row>
    <row r="38" spans="1:24" x14ac:dyDescent="0.25">
      <c r="A38" s="125" t="s">
        <v>35</v>
      </c>
      <c r="B38" s="126">
        <v>15667.43</v>
      </c>
      <c r="C38" s="127">
        <f>ITA!G36</f>
        <v>1.7326359641881069E-2</v>
      </c>
      <c r="D38" s="382">
        <f>'Total Inst. Cost'!G36</f>
        <v>95241841.180101097</v>
      </c>
      <c r="E38" s="546" t="s">
        <v>705</v>
      </c>
      <c r="F38" s="384">
        <f>'District Services'!K45</f>
        <v>3900824.2210878227</v>
      </c>
      <c r="G38" s="405">
        <f t="shared" si="8"/>
        <v>99142665.401188925</v>
      </c>
      <c r="H38" s="134"/>
      <c r="I38" s="382">
        <f>'FY 19 State Pmt (Opt 3)'!BE37</f>
        <v>70572751.989999995</v>
      </c>
      <c r="J38" s="546" t="s">
        <v>705</v>
      </c>
      <c r="K38" s="539">
        <f t="shared" si="9"/>
        <v>70572751.989999995</v>
      </c>
      <c r="L38" s="134"/>
      <c r="M38" s="469">
        <f t="shared" si="0"/>
        <v>25837361.081828997</v>
      </c>
      <c r="N38" s="554">
        <f t="shared" si="10"/>
        <v>73305304.319359928</v>
      </c>
      <c r="O38" s="560">
        <f t="shared" si="1"/>
        <v>2732552.3293599337</v>
      </c>
      <c r="P38" s="441">
        <f t="shared" si="2"/>
        <v>0.73939210755252549</v>
      </c>
      <c r="Q38" s="134">
        <f>M38/ITA!B36*1000</f>
        <v>89.636085257400666</v>
      </c>
      <c r="R38" s="134"/>
      <c r="S38" s="392">
        <f t="shared" si="3"/>
        <v>0</v>
      </c>
      <c r="T38" s="373">
        <f t="shared" si="4"/>
        <v>73305304.319359928</v>
      </c>
      <c r="U38" s="373">
        <f t="shared" si="5"/>
        <v>2732552.3293599337</v>
      </c>
      <c r="V38" s="132">
        <f t="shared" si="6"/>
        <v>0.73939210755252549</v>
      </c>
      <c r="W38" s="181">
        <f t="shared" si="7"/>
        <v>25837361.081828997</v>
      </c>
      <c r="X38" s="134">
        <f>W38/ITA!B36*1000</f>
        <v>89.636085257400666</v>
      </c>
    </row>
    <row r="39" spans="1:24" x14ac:dyDescent="0.25">
      <c r="A39" s="123" t="s">
        <v>36</v>
      </c>
      <c r="B39" s="47">
        <v>1091.3900000000001</v>
      </c>
      <c r="C39" s="73">
        <f>ITA!G37</f>
        <v>6.6946300993213153E-4</v>
      </c>
      <c r="D39" s="379">
        <f>'Total Inst. Cost'!G37</f>
        <v>6901363.2523968043</v>
      </c>
      <c r="E39" s="547" t="s">
        <v>705</v>
      </c>
      <c r="F39" s="381">
        <f>'District Services'!K46</f>
        <v>1160530.7137354382</v>
      </c>
      <c r="G39" s="404">
        <f t="shared" si="8"/>
        <v>8061893.9661322422</v>
      </c>
      <c r="H39" s="124"/>
      <c r="I39" s="379">
        <f>'FY 19 State Pmt (Opt 3)'!BE38</f>
        <v>6044439.9500000002</v>
      </c>
      <c r="J39" s="547" t="s">
        <v>705</v>
      </c>
      <c r="K39" s="540">
        <f t="shared" si="9"/>
        <v>6044439.9500000002</v>
      </c>
      <c r="L39" s="124"/>
      <c r="M39" s="471">
        <f t="shared" ref="M39:M70" si="11">C39*($G$88*$M$6)</f>
        <v>998314.58402456762</v>
      </c>
      <c r="N39" s="555">
        <f t="shared" ref="N39:N70" si="12">G39-M39</f>
        <v>7063579.3821076751</v>
      </c>
      <c r="O39" s="559">
        <f t="shared" ref="O39:O70" si="13">N39-K39</f>
        <v>1019139.4321076749</v>
      </c>
      <c r="P39" s="442">
        <f t="shared" ref="P39:P70" si="14">N39/G39</f>
        <v>0.8761687280658299</v>
      </c>
      <c r="Q39" s="124">
        <f>M39/ITA!B37*1000</f>
        <v>98.957485680424398</v>
      </c>
      <c r="R39" s="124"/>
      <c r="S39" s="393">
        <f t="shared" ref="S39:S70" si="15">IF(O39&lt;0,K39-N39,0)</f>
        <v>0</v>
      </c>
      <c r="T39" s="374">
        <f t="shared" ref="T39:T70" si="16">S39+N39</f>
        <v>7063579.3821076751</v>
      </c>
      <c r="U39" s="374">
        <f t="shared" ref="U39:U70" si="17">T39-K39</f>
        <v>1019139.4321076749</v>
      </c>
      <c r="V39" s="79">
        <f t="shared" ref="V39:V70" si="18">T39/G39</f>
        <v>0.8761687280658299</v>
      </c>
      <c r="W39" s="180">
        <f t="shared" ref="W39:W70" si="19">G39-T39</f>
        <v>998314.58402456716</v>
      </c>
      <c r="X39" s="124">
        <f>W39/ITA!B37*1000</f>
        <v>98.957485680424341</v>
      </c>
    </row>
    <row r="40" spans="1:24" x14ac:dyDescent="0.25">
      <c r="A40" s="125" t="s">
        <v>37</v>
      </c>
      <c r="B40" s="126">
        <v>3269.06</v>
      </c>
      <c r="C40" s="127">
        <f>ITA!G38</f>
        <v>2.4992465407196488E-3</v>
      </c>
      <c r="D40" s="382">
        <f>'Total Inst. Cost'!G38</f>
        <v>21487426.541385647</v>
      </c>
      <c r="E40" s="546" t="s">
        <v>705</v>
      </c>
      <c r="F40" s="384">
        <f>'District Services'!K47</f>
        <v>1265414.4321673247</v>
      </c>
      <c r="G40" s="405">
        <f t="shared" si="8"/>
        <v>22752840.973552972</v>
      </c>
      <c r="H40" s="134"/>
      <c r="I40" s="382">
        <f>'FY 19 State Pmt (Opt 3)'!BE39</f>
        <v>17022841.900000002</v>
      </c>
      <c r="J40" s="546" t="s">
        <v>705</v>
      </c>
      <c r="K40" s="539">
        <f t="shared" si="9"/>
        <v>17022841.900000002</v>
      </c>
      <c r="L40" s="134"/>
      <c r="M40" s="469">
        <f t="shared" si="11"/>
        <v>3726918.7896226202</v>
      </c>
      <c r="N40" s="554">
        <f t="shared" si="12"/>
        <v>19025922.183930352</v>
      </c>
      <c r="O40" s="560">
        <f t="shared" si="13"/>
        <v>2003080.2839303501</v>
      </c>
      <c r="P40" s="441">
        <f t="shared" si="14"/>
        <v>0.83619984889119359</v>
      </c>
      <c r="Q40" s="134">
        <f>M40/ITA!B38*1000</f>
        <v>89.302325644794337</v>
      </c>
      <c r="R40" s="134"/>
      <c r="S40" s="392">
        <f t="shared" si="15"/>
        <v>0</v>
      </c>
      <c r="T40" s="373">
        <f t="shared" si="16"/>
        <v>19025922.183930352</v>
      </c>
      <c r="U40" s="373">
        <f t="shared" si="17"/>
        <v>2003080.2839303501</v>
      </c>
      <c r="V40" s="132">
        <f t="shared" si="18"/>
        <v>0.83619984889119359</v>
      </c>
      <c r="W40" s="181">
        <f t="shared" si="19"/>
        <v>3726918.7896226197</v>
      </c>
      <c r="X40" s="134">
        <f>W40/ITA!B38*1000</f>
        <v>89.302325644794337</v>
      </c>
    </row>
    <row r="41" spans="1:24" x14ac:dyDescent="0.25">
      <c r="A41" s="123" t="s">
        <v>38</v>
      </c>
      <c r="B41" s="47">
        <v>656.05</v>
      </c>
      <c r="C41" s="73">
        <f>ITA!G39</f>
        <v>1.1421844392447617E-3</v>
      </c>
      <c r="D41" s="379">
        <f>'Total Inst. Cost'!G39</f>
        <v>4359259.7650853181</v>
      </c>
      <c r="E41" s="547" t="s">
        <v>705</v>
      </c>
      <c r="F41" s="381">
        <f>'District Services'!K48</f>
        <v>1143438.6625571724</v>
      </c>
      <c r="G41" s="406">
        <f t="shared" si="8"/>
        <v>5502698.4276424907</v>
      </c>
      <c r="H41" s="124"/>
      <c r="I41" s="379">
        <f>'FY 19 State Pmt (Opt 3)'!BE40</f>
        <v>2994402.5900000008</v>
      </c>
      <c r="J41" s="547" t="s">
        <v>705</v>
      </c>
      <c r="K41" s="540">
        <f t="shared" si="9"/>
        <v>2994402.5900000008</v>
      </c>
      <c r="L41" s="124"/>
      <c r="M41" s="471">
        <f t="shared" si="11"/>
        <v>1703244.7893716563</v>
      </c>
      <c r="N41" s="555">
        <f t="shared" si="12"/>
        <v>3799453.6382708345</v>
      </c>
      <c r="O41" s="559">
        <f t="shared" si="13"/>
        <v>805051.04827083368</v>
      </c>
      <c r="P41" s="442">
        <f t="shared" si="14"/>
        <v>0.69047099132027601</v>
      </c>
      <c r="Q41" s="124">
        <f>M41/ITA!B39*1000</f>
        <v>82.636953338890336</v>
      </c>
      <c r="R41" s="124"/>
      <c r="S41" s="393">
        <f t="shared" si="15"/>
        <v>0</v>
      </c>
      <c r="T41" s="374">
        <f t="shared" si="16"/>
        <v>3799453.6382708345</v>
      </c>
      <c r="U41" s="374">
        <f t="shared" si="17"/>
        <v>805051.04827083368</v>
      </c>
      <c r="V41" s="79">
        <f t="shared" si="18"/>
        <v>0.69047099132027601</v>
      </c>
      <c r="W41" s="180">
        <f t="shared" si="19"/>
        <v>1703244.7893716563</v>
      </c>
      <c r="X41" s="124">
        <f>W41/ITA!B39*1000</f>
        <v>82.636953338890336</v>
      </c>
    </row>
    <row r="42" spans="1:24" x14ac:dyDescent="0.25">
      <c r="A42" s="125" t="s">
        <v>39</v>
      </c>
      <c r="B42" s="126">
        <v>1181.8699999999999</v>
      </c>
      <c r="C42" s="127">
        <f>ITA!G40</f>
        <v>6.2555178225160379E-4</v>
      </c>
      <c r="D42" s="382">
        <f>'Total Inst. Cost'!G40</f>
        <v>7511964.4734300347</v>
      </c>
      <c r="E42" s="546" t="s">
        <v>705</v>
      </c>
      <c r="F42" s="384">
        <f>'District Services'!K49</f>
        <v>1165745.5718244168</v>
      </c>
      <c r="G42" s="405">
        <f t="shared" si="8"/>
        <v>8677710.0452544522</v>
      </c>
      <c r="H42" s="134"/>
      <c r="I42" s="382">
        <f>'FY 19 State Pmt (Opt 3)'!BE41</f>
        <v>6431798.2500000019</v>
      </c>
      <c r="J42" s="546" t="s">
        <v>705</v>
      </c>
      <c r="K42" s="539">
        <f t="shared" si="9"/>
        <v>6431798.2500000019</v>
      </c>
      <c r="L42" s="134"/>
      <c r="M42" s="469">
        <f t="shared" si="11"/>
        <v>932833.41726027057</v>
      </c>
      <c r="N42" s="554">
        <f t="shared" si="12"/>
        <v>7744876.6279941816</v>
      </c>
      <c r="O42" s="560">
        <f t="shared" si="13"/>
        <v>1313078.3779941797</v>
      </c>
      <c r="P42" s="441">
        <f t="shared" si="14"/>
        <v>0.89250235230313946</v>
      </c>
      <c r="Q42" s="134">
        <f>M42/ITA!B40*1000</f>
        <v>99.920019424179088</v>
      </c>
      <c r="R42" s="134"/>
      <c r="S42" s="392">
        <f t="shared" si="15"/>
        <v>0</v>
      </c>
      <c r="T42" s="373">
        <f t="shared" si="16"/>
        <v>7744876.6279941816</v>
      </c>
      <c r="U42" s="373">
        <f t="shared" si="17"/>
        <v>1313078.3779941797</v>
      </c>
      <c r="V42" s="132">
        <f t="shared" si="18"/>
        <v>0.89250235230313946</v>
      </c>
      <c r="W42" s="181">
        <f t="shared" si="19"/>
        <v>932833.41726027057</v>
      </c>
      <c r="X42" s="134">
        <f>W42/ITA!B40*1000</f>
        <v>99.920019424179088</v>
      </c>
    </row>
    <row r="43" spans="1:24" x14ac:dyDescent="0.25">
      <c r="A43" s="123" t="s">
        <v>40</v>
      </c>
      <c r="B43" s="47">
        <v>8929.7900000000009</v>
      </c>
      <c r="C43" s="73">
        <f>ITA!G41</f>
        <v>2.4500297574552889E-2</v>
      </c>
      <c r="D43" s="379">
        <f>'Total Inst. Cost'!G41</f>
        <v>54389047.963759944</v>
      </c>
      <c r="E43" s="547" t="s">
        <v>705</v>
      </c>
      <c r="F43" s="381">
        <f>'District Services'!K50</f>
        <v>2403698.1471939194</v>
      </c>
      <c r="G43" s="404">
        <f t="shared" si="8"/>
        <v>56792746.11095386</v>
      </c>
      <c r="H43" s="124"/>
      <c r="I43" s="379">
        <f>'FY 19 State Pmt (Opt 3)'!BE42</f>
        <v>24710392.940000001</v>
      </c>
      <c r="J43" s="547" t="s">
        <v>705</v>
      </c>
      <c r="K43" s="540">
        <f t="shared" si="9"/>
        <v>24710392.940000001</v>
      </c>
      <c r="L43" s="124"/>
      <c r="M43" s="471">
        <f t="shared" si="11"/>
        <v>36535258.884725362</v>
      </c>
      <c r="N43" s="555">
        <f t="shared" si="12"/>
        <v>20257487.226228498</v>
      </c>
      <c r="O43" s="559">
        <f t="shared" si="13"/>
        <v>-4452905.7137715034</v>
      </c>
      <c r="P43" s="442">
        <f t="shared" si="14"/>
        <v>0.356691454691277</v>
      </c>
      <c r="Q43" s="124">
        <f>M43/ITA!B41*1000</f>
        <v>88.735993485722446</v>
      </c>
      <c r="R43" s="124"/>
      <c r="S43" s="393">
        <f t="shared" si="15"/>
        <v>4452905.7137715034</v>
      </c>
      <c r="T43" s="374">
        <f t="shared" si="16"/>
        <v>24710392.940000001</v>
      </c>
      <c r="U43" s="374">
        <f t="shared" si="17"/>
        <v>0</v>
      </c>
      <c r="V43" s="79">
        <f t="shared" si="18"/>
        <v>0.43509769525361974</v>
      </c>
      <c r="W43" s="180">
        <f t="shared" si="19"/>
        <v>32082353.170953859</v>
      </c>
      <c r="X43" s="124">
        <f>W43/ITA!B41*1000</f>
        <v>77.920878868457166</v>
      </c>
    </row>
    <row r="44" spans="1:24" x14ac:dyDescent="0.25">
      <c r="A44" s="125" t="s">
        <v>41</v>
      </c>
      <c r="B44" s="126">
        <v>74161.66</v>
      </c>
      <c r="C44" s="127">
        <f>ITA!G42</f>
        <v>9.3828228087080537E-2</v>
      </c>
      <c r="D44" s="382">
        <f>'Total Inst. Cost'!G42</f>
        <v>439248598.18830931</v>
      </c>
      <c r="E44" s="546" t="s">
        <v>705</v>
      </c>
      <c r="F44" s="384">
        <f>'District Services'!K51</f>
        <v>6315738.6643595546</v>
      </c>
      <c r="G44" s="405">
        <f t="shared" si="8"/>
        <v>445564336.85266888</v>
      </c>
      <c r="H44" s="134"/>
      <c r="I44" s="382">
        <f>'FY 19 State Pmt (Opt 3)'!BE43</f>
        <v>307001833.78000003</v>
      </c>
      <c r="J44" s="546" t="s">
        <v>705</v>
      </c>
      <c r="K44" s="539">
        <f t="shared" si="9"/>
        <v>307001833.78000003</v>
      </c>
      <c r="L44" s="134"/>
      <c r="M44" s="469">
        <f t="shared" si="11"/>
        <v>139918243.58154172</v>
      </c>
      <c r="N44" s="554">
        <f t="shared" si="12"/>
        <v>305646093.27112716</v>
      </c>
      <c r="O44" s="560">
        <f t="shared" si="13"/>
        <v>-1355740.5088728666</v>
      </c>
      <c r="P44" s="441">
        <f t="shared" si="14"/>
        <v>0.68597521837164599</v>
      </c>
      <c r="Q44" s="134">
        <f>M44/ITA!B42*1000</f>
        <v>94.352253762113889</v>
      </c>
      <c r="R44" s="134"/>
      <c r="S44" s="392">
        <f t="shared" si="15"/>
        <v>1355740.5088728666</v>
      </c>
      <c r="T44" s="373">
        <f t="shared" si="16"/>
        <v>307001833.78000003</v>
      </c>
      <c r="U44" s="373">
        <f t="shared" si="17"/>
        <v>0</v>
      </c>
      <c r="V44" s="132">
        <f t="shared" si="18"/>
        <v>0.68901796752533595</v>
      </c>
      <c r="W44" s="181">
        <f t="shared" si="19"/>
        <v>138562503.07266885</v>
      </c>
      <c r="X44" s="134">
        <f>W44/ITA!B42*1000</f>
        <v>93.438025786873453</v>
      </c>
    </row>
    <row r="45" spans="1:24" x14ac:dyDescent="0.25">
      <c r="A45" s="123" t="s">
        <v>42</v>
      </c>
      <c r="B45" s="47">
        <v>8515.0300000000007</v>
      </c>
      <c r="C45" s="73">
        <f>ITA!G43</f>
        <v>8.8513812666078176E-3</v>
      </c>
      <c r="D45" s="379">
        <f>'Total Inst. Cost'!G43</f>
        <v>50989546.371860631</v>
      </c>
      <c r="E45" s="547" t="s">
        <v>705</v>
      </c>
      <c r="F45" s="381">
        <f>'District Services'!K52</f>
        <v>2226411.9481925732</v>
      </c>
      <c r="G45" s="406">
        <f t="shared" si="8"/>
        <v>53215958.320053205</v>
      </c>
      <c r="H45" s="124"/>
      <c r="I45" s="379">
        <f>'FY 19 State Pmt (Opt 3)'!BE44</f>
        <v>38083175.870000005</v>
      </c>
      <c r="J45" s="547" t="s">
        <v>705</v>
      </c>
      <c r="K45" s="540">
        <f t="shared" si="9"/>
        <v>38083175.870000005</v>
      </c>
      <c r="L45" s="124"/>
      <c r="M45" s="471">
        <f t="shared" si="11"/>
        <v>13199329.725644218</v>
      </c>
      <c r="N45" s="555">
        <f t="shared" si="12"/>
        <v>40016628.594408989</v>
      </c>
      <c r="O45" s="559">
        <f t="shared" si="13"/>
        <v>1933452.7244089842</v>
      </c>
      <c r="P45" s="442">
        <f t="shared" si="14"/>
        <v>0.75196670054759962</v>
      </c>
      <c r="Q45" s="124">
        <f>M45/ITA!B43*1000</f>
        <v>95.81916853125513</v>
      </c>
      <c r="R45" s="124"/>
      <c r="S45" s="393">
        <f t="shared" si="15"/>
        <v>0</v>
      </c>
      <c r="T45" s="374">
        <f t="shared" si="16"/>
        <v>40016628.594408989</v>
      </c>
      <c r="U45" s="374">
        <f t="shared" si="17"/>
        <v>1933452.7244089842</v>
      </c>
      <c r="V45" s="79">
        <f t="shared" si="18"/>
        <v>0.75196670054759962</v>
      </c>
      <c r="W45" s="180">
        <f t="shared" si="19"/>
        <v>13199329.725644216</v>
      </c>
      <c r="X45" s="124">
        <f>W45/ITA!B43*1000</f>
        <v>95.819168531255116</v>
      </c>
    </row>
    <row r="46" spans="1:24" x14ac:dyDescent="0.25">
      <c r="A46" s="125" t="s">
        <v>43</v>
      </c>
      <c r="B46" s="126">
        <v>898.58</v>
      </c>
      <c r="C46" s="127">
        <f>ITA!G44</f>
        <v>6.2023552105307494E-4</v>
      </c>
      <c r="D46" s="382">
        <f>'Total Inst. Cost'!G44</f>
        <v>5648913.7126899865</v>
      </c>
      <c r="E46" s="546" t="s">
        <v>705</v>
      </c>
      <c r="F46" s="384">
        <f>'District Services'!K53</f>
        <v>1152018.4346966522</v>
      </c>
      <c r="G46" s="405">
        <f t="shared" si="8"/>
        <v>6800932.1473866384</v>
      </c>
      <c r="H46" s="134"/>
      <c r="I46" s="382">
        <f>'FY 19 State Pmt (Opt 3)'!BE45</f>
        <v>4753957.5600000005</v>
      </c>
      <c r="J46" s="546" t="s">
        <v>705</v>
      </c>
      <c r="K46" s="539">
        <f t="shared" si="9"/>
        <v>4753957.5600000005</v>
      </c>
      <c r="L46" s="134"/>
      <c r="M46" s="469">
        <f t="shared" si="11"/>
        <v>924905.71848044812</v>
      </c>
      <c r="N46" s="554">
        <f t="shared" si="12"/>
        <v>5876026.4289061902</v>
      </c>
      <c r="O46" s="560">
        <f t="shared" si="13"/>
        <v>1122068.8689061897</v>
      </c>
      <c r="P46" s="441">
        <f t="shared" si="14"/>
        <v>0.86400309568801426</v>
      </c>
      <c r="Q46" s="134">
        <f>M46/ITA!B44*1000</f>
        <v>101.34899049736615</v>
      </c>
      <c r="R46" s="134"/>
      <c r="S46" s="392">
        <f t="shared" si="15"/>
        <v>0</v>
      </c>
      <c r="T46" s="373">
        <f t="shared" si="16"/>
        <v>5876026.4289061902</v>
      </c>
      <c r="U46" s="373">
        <f t="shared" si="17"/>
        <v>1122068.8689061897</v>
      </c>
      <c r="V46" s="132">
        <f t="shared" si="18"/>
        <v>0.86400309568801426</v>
      </c>
      <c r="W46" s="181">
        <f t="shared" si="19"/>
        <v>924905.71848044824</v>
      </c>
      <c r="X46" s="134">
        <f>W46/ITA!B44*1000</f>
        <v>101.34899049736616</v>
      </c>
    </row>
    <row r="47" spans="1:24" x14ac:dyDescent="0.25">
      <c r="A47" s="123" t="s">
        <v>44</v>
      </c>
      <c r="B47" s="47">
        <v>1516.32</v>
      </c>
      <c r="C47" s="73">
        <f>ITA!G45</f>
        <v>2.6217033665711328E-3</v>
      </c>
      <c r="D47" s="379">
        <f>'Total Inst. Cost'!G45</f>
        <v>8926769.2633693255</v>
      </c>
      <c r="E47" s="547" t="s">
        <v>705</v>
      </c>
      <c r="F47" s="381">
        <f>'District Services'!K54</f>
        <v>1174931.8027035149</v>
      </c>
      <c r="G47" s="404">
        <f t="shared" si="8"/>
        <v>10101701.06607284</v>
      </c>
      <c r="H47" s="124"/>
      <c r="I47" s="379">
        <f>'FY 19 State Pmt (Opt 3)'!BE46</f>
        <v>6095674.6200000001</v>
      </c>
      <c r="J47" s="547" t="s">
        <v>705</v>
      </c>
      <c r="K47" s="540">
        <f t="shared" si="9"/>
        <v>6095674.6200000001</v>
      </c>
      <c r="L47" s="124"/>
      <c r="M47" s="471">
        <f t="shared" si="11"/>
        <v>3909528.4832833447</v>
      </c>
      <c r="N47" s="555">
        <f t="shared" si="12"/>
        <v>6192172.5827894956</v>
      </c>
      <c r="O47" s="559">
        <f t="shared" si="13"/>
        <v>96497.962789495476</v>
      </c>
      <c r="P47" s="442">
        <f t="shared" si="14"/>
        <v>0.6129831542517401</v>
      </c>
      <c r="Q47" s="124">
        <f>M47/ITA!B45*1000</f>
        <v>80.928565950325449</v>
      </c>
      <c r="R47" s="124"/>
      <c r="S47" s="393">
        <f t="shared" si="15"/>
        <v>0</v>
      </c>
      <c r="T47" s="374">
        <f t="shared" si="16"/>
        <v>6192172.5827894956</v>
      </c>
      <c r="U47" s="374">
        <f t="shared" si="17"/>
        <v>96497.962789495476</v>
      </c>
      <c r="V47" s="79">
        <f t="shared" si="18"/>
        <v>0.6129831542517401</v>
      </c>
      <c r="W47" s="180">
        <f t="shared" si="19"/>
        <v>3909528.4832833447</v>
      </c>
      <c r="X47" s="124">
        <f>W47/ITA!B45*1000</f>
        <v>80.928565950325449</v>
      </c>
    </row>
    <row r="48" spans="1:24" x14ac:dyDescent="0.25">
      <c r="A48" s="125" t="s">
        <v>45</v>
      </c>
      <c r="B48" s="126">
        <v>2087.65</v>
      </c>
      <c r="C48" s="127">
        <f>ITA!G46</f>
        <v>1.6600809365076988E-3</v>
      </c>
      <c r="D48" s="382">
        <f>'Total Inst. Cost'!G46</f>
        <v>12490916.49882987</v>
      </c>
      <c r="E48" s="546" t="s">
        <v>705</v>
      </c>
      <c r="F48" s="384">
        <f>'District Services'!K55</f>
        <v>1200820.2096142164</v>
      </c>
      <c r="G48" s="405">
        <f t="shared" si="8"/>
        <v>13691736.708444085</v>
      </c>
      <c r="H48" s="134"/>
      <c r="I48" s="382">
        <f>'FY 19 State Pmt (Opt 3)'!BE47</f>
        <v>10676519.939999999</v>
      </c>
      <c r="J48" s="546" t="s">
        <v>705</v>
      </c>
      <c r="K48" s="539">
        <f t="shared" si="9"/>
        <v>10676519.939999999</v>
      </c>
      <c r="L48" s="134"/>
      <c r="M48" s="469">
        <f t="shared" si="11"/>
        <v>2475540.8215082851</v>
      </c>
      <c r="N48" s="554">
        <f t="shared" si="12"/>
        <v>11216195.8869358</v>
      </c>
      <c r="O48" s="560">
        <f t="shared" si="13"/>
        <v>539675.94693580084</v>
      </c>
      <c r="P48" s="441">
        <f t="shared" si="14"/>
        <v>0.81919453505255124</v>
      </c>
      <c r="Q48" s="134">
        <f>M48/ITA!B46*1000</f>
        <v>96.615878170705216</v>
      </c>
      <c r="R48" s="134"/>
      <c r="S48" s="392">
        <f t="shared" si="15"/>
        <v>0</v>
      </c>
      <c r="T48" s="373">
        <f t="shared" si="16"/>
        <v>11216195.8869358</v>
      </c>
      <c r="U48" s="373">
        <f t="shared" si="17"/>
        <v>539675.94693580084</v>
      </c>
      <c r="V48" s="132">
        <f t="shared" si="18"/>
        <v>0.81919453505255124</v>
      </c>
      <c r="W48" s="181">
        <f t="shared" si="19"/>
        <v>2475540.8215082847</v>
      </c>
      <c r="X48" s="134">
        <f>W48/ITA!B46*1000</f>
        <v>96.615878170705187</v>
      </c>
    </row>
    <row r="49" spans="1:24" x14ac:dyDescent="0.25">
      <c r="A49" s="123" t="s">
        <v>46</v>
      </c>
      <c r="B49" s="47">
        <v>662.1</v>
      </c>
      <c r="C49" s="73">
        <f>ITA!G47</f>
        <v>7.3342743833593269E-4</v>
      </c>
      <c r="D49" s="379">
        <f>'Total Inst. Cost'!G47</f>
        <v>4295635.3025124501</v>
      </c>
      <c r="E49" s="547" t="s">
        <v>705</v>
      </c>
      <c r="F49" s="381">
        <f>'District Services'!K56</f>
        <v>1143047.1204426477</v>
      </c>
      <c r="G49" s="406">
        <f t="shared" si="8"/>
        <v>5438682.4229550976</v>
      </c>
      <c r="H49" s="124"/>
      <c r="I49" s="379">
        <f>'FY 19 State Pmt (Opt 3)'!BE48</f>
        <v>3530188.4799999991</v>
      </c>
      <c r="J49" s="547" t="s">
        <v>705</v>
      </c>
      <c r="K49" s="540">
        <f t="shared" si="9"/>
        <v>3530188.4799999991</v>
      </c>
      <c r="L49" s="124"/>
      <c r="M49" s="471">
        <f t="shared" si="11"/>
        <v>1093699.4234958084</v>
      </c>
      <c r="N49" s="555">
        <f t="shared" si="12"/>
        <v>4344982.999459289</v>
      </c>
      <c r="O49" s="559">
        <f t="shared" si="13"/>
        <v>814794.51945928996</v>
      </c>
      <c r="P49" s="442">
        <f t="shared" si="14"/>
        <v>0.79890360597639953</v>
      </c>
      <c r="Q49" s="124">
        <f>M49/ITA!B47*1000</f>
        <v>87.341171349446043</v>
      </c>
      <c r="R49" s="124"/>
      <c r="S49" s="393">
        <f t="shared" si="15"/>
        <v>0</v>
      </c>
      <c r="T49" s="374">
        <f t="shared" si="16"/>
        <v>4344982.999459289</v>
      </c>
      <c r="U49" s="374">
        <f t="shared" si="17"/>
        <v>814794.51945928996</v>
      </c>
      <c r="V49" s="79">
        <f t="shared" si="18"/>
        <v>0.79890360597639953</v>
      </c>
      <c r="W49" s="180">
        <f t="shared" si="19"/>
        <v>1093699.4234958086</v>
      </c>
      <c r="X49" s="124">
        <f>W49/ITA!B47*1000</f>
        <v>87.341171349446057</v>
      </c>
    </row>
    <row r="50" spans="1:24" x14ac:dyDescent="0.25">
      <c r="A50" s="125" t="s">
        <v>47</v>
      </c>
      <c r="B50" s="126">
        <v>43529.94</v>
      </c>
      <c r="C50" s="127">
        <f>ITA!G48</f>
        <v>8.9326111904328057E-2</v>
      </c>
      <c r="D50" s="382">
        <f>'Total Inst. Cost'!G48</f>
        <v>259925256.60418406</v>
      </c>
      <c r="E50" s="546" t="s">
        <v>705</v>
      </c>
      <c r="F50" s="384">
        <f>'District Services'!K57</f>
        <v>5071243.6453510327</v>
      </c>
      <c r="G50" s="405">
        <f t="shared" si="8"/>
        <v>264996500.24953508</v>
      </c>
      <c r="H50" s="134"/>
      <c r="I50" s="382">
        <f>'FY 19 State Pmt (Opt 3)'!BE49</f>
        <v>144284019.76999998</v>
      </c>
      <c r="J50" s="546" t="s">
        <v>705</v>
      </c>
      <c r="K50" s="539">
        <f t="shared" si="9"/>
        <v>144284019.76999998</v>
      </c>
      <c r="L50" s="134"/>
      <c r="M50" s="469">
        <f t="shared" si="11"/>
        <v>133204611.64440084</v>
      </c>
      <c r="N50" s="554">
        <f t="shared" si="12"/>
        <v>131791888.60513425</v>
      </c>
      <c r="O50" s="560">
        <f t="shared" si="13"/>
        <v>-12492131.164865732</v>
      </c>
      <c r="P50" s="441">
        <f t="shared" si="14"/>
        <v>0.49733444962870021</v>
      </c>
      <c r="Q50" s="134">
        <f>M50/ITA!B48*1000</f>
        <v>81.706820158304438</v>
      </c>
      <c r="R50" s="134"/>
      <c r="S50" s="392">
        <f t="shared" si="15"/>
        <v>12492131.164865732</v>
      </c>
      <c r="T50" s="373">
        <f t="shared" si="16"/>
        <v>144284019.76999998</v>
      </c>
      <c r="U50" s="373">
        <f t="shared" si="17"/>
        <v>0</v>
      </c>
      <c r="V50" s="132">
        <f t="shared" si="18"/>
        <v>0.54447518980112686</v>
      </c>
      <c r="W50" s="181">
        <f t="shared" si="19"/>
        <v>120712480.4795351</v>
      </c>
      <c r="X50" s="134">
        <f>W50/ITA!B48*1000</f>
        <v>74.044230238321447</v>
      </c>
    </row>
    <row r="51" spans="1:24" x14ac:dyDescent="0.25">
      <c r="A51" s="123" t="s">
        <v>48</v>
      </c>
      <c r="B51" s="47">
        <v>2404.8000000000002</v>
      </c>
      <c r="C51" s="73">
        <f>ITA!G49</f>
        <v>5.4333989620398496E-3</v>
      </c>
      <c r="D51" s="379">
        <f>'Total Inst. Cost'!G49</f>
        <v>15030572.768357413</v>
      </c>
      <c r="E51" s="547" t="s">
        <v>705</v>
      </c>
      <c r="F51" s="381">
        <f>'District Services'!K58</f>
        <v>1217319.1182682149</v>
      </c>
      <c r="G51" s="404">
        <f t="shared" si="8"/>
        <v>16247891.886625627</v>
      </c>
      <c r="H51" s="124"/>
      <c r="I51" s="379">
        <f>'FY 19 State Pmt (Opt 3)'!BE50</f>
        <v>8310771.2999999998</v>
      </c>
      <c r="J51" s="547" t="s">
        <v>705</v>
      </c>
      <c r="K51" s="540">
        <f t="shared" si="9"/>
        <v>8310771.2999999998</v>
      </c>
      <c r="L51" s="124"/>
      <c r="M51" s="471">
        <f t="shared" si="11"/>
        <v>8102376.5975930858</v>
      </c>
      <c r="N51" s="555">
        <f t="shared" si="12"/>
        <v>8145515.2890325412</v>
      </c>
      <c r="O51" s="559">
        <f t="shared" si="13"/>
        <v>-165256.0109674586</v>
      </c>
      <c r="P51" s="442">
        <f t="shared" si="14"/>
        <v>0.50132751657077945</v>
      </c>
      <c r="Q51" s="124">
        <f>M51/ITA!B49*1000</f>
        <v>79.051730441104795</v>
      </c>
      <c r="R51" s="124"/>
      <c r="S51" s="393">
        <f t="shared" si="15"/>
        <v>165256.0109674586</v>
      </c>
      <c r="T51" s="374">
        <f t="shared" si="16"/>
        <v>8310771.2999999998</v>
      </c>
      <c r="U51" s="374">
        <f t="shared" si="17"/>
        <v>0</v>
      </c>
      <c r="V51" s="79">
        <f t="shared" si="18"/>
        <v>0.51149843671971817</v>
      </c>
      <c r="W51" s="180">
        <f t="shared" si="19"/>
        <v>7937120.5866256272</v>
      </c>
      <c r="X51" s="124">
        <f>W51/ITA!B49*1000</f>
        <v>77.439391953079877</v>
      </c>
    </row>
    <row r="52" spans="1:24" x14ac:dyDescent="0.25">
      <c r="A52" s="125" t="s">
        <v>49</v>
      </c>
      <c r="B52" s="126">
        <v>10525.82</v>
      </c>
      <c r="C52" s="127">
        <f>ITA!G50</f>
        <v>9.85900400732438E-3</v>
      </c>
      <c r="D52" s="382">
        <f>'Total Inst. Cost'!G50</f>
        <v>62579152.539829418</v>
      </c>
      <c r="E52" s="546" t="s">
        <v>705</v>
      </c>
      <c r="F52" s="384">
        <f>'District Services'!K59</f>
        <v>2759302.2922234498</v>
      </c>
      <c r="G52" s="405">
        <f t="shared" si="8"/>
        <v>65338454.832052872</v>
      </c>
      <c r="H52" s="134"/>
      <c r="I52" s="382">
        <f>'FY 19 State Pmt (Opt 3)'!BE51</f>
        <v>48883680.200000003</v>
      </c>
      <c r="J52" s="546" t="s">
        <v>705</v>
      </c>
      <c r="K52" s="539">
        <f t="shared" si="9"/>
        <v>48883680.200000003</v>
      </c>
      <c r="L52" s="134"/>
      <c r="M52" s="469">
        <f t="shared" si="11"/>
        <v>14701913.830110464</v>
      </c>
      <c r="N52" s="554">
        <f t="shared" si="12"/>
        <v>50636541.001942411</v>
      </c>
      <c r="O52" s="560">
        <f t="shared" si="13"/>
        <v>1752860.8019424081</v>
      </c>
      <c r="P52" s="441">
        <f t="shared" si="14"/>
        <v>0.77498834541005723</v>
      </c>
      <c r="Q52" s="134">
        <f>M52/ITA!B50*1000</f>
        <v>102.91909029484836</v>
      </c>
      <c r="R52" s="134"/>
      <c r="S52" s="392">
        <f t="shared" si="15"/>
        <v>0</v>
      </c>
      <c r="T52" s="373">
        <f t="shared" si="16"/>
        <v>50636541.001942411</v>
      </c>
      <c r="U52" s="373">
        <f t="shared" si="17"/>
        <v>1752860.8019424081</v>
      </c>
      <c r="V52" s="132">
        <f t="shared" si="18"/>
        <v>0.77498834541005723</v>
      </c>
      <c r="W52" s="181">
        <f t="shared" si="19"/>
        <v>14701913.830110461</v>
      </c>
      <c r="X52" s="134">
        <f>W52/ITA!B50*1000</f>
        <v>102.91909029484833</v>
      </c>
    </row>
    <row r="53" spans="1:24" x14ac:dyDescent="0.25">
      <c r="A53" s="123" t="s">
        <v>50</v>
      </c>
      <c r="B53" s="47">
        <v>13258.42</v>
      </c>
      <c r="C53" s="73">
        <f>ITA!G51</f>
        <v>1.2724927436571082E-2</v>
      </c>
      <c r="D53" s="379">
        <f>'Total Inst. Cost'!G51</f>
        <v>77889996.458737433</v>
      </c>
      <c r="E53" s="547" t="s">
        <v>705</v>
      </c>
      <c r="F53" s="381">
        <f>'District Services'!K60</f>
        <v>3623520.8927567909</v>
      </c>
      <c r="G53" s="406">
        <f t="shared" si="8"/>
        <v>81513517.351494223</v>
      </c>
      <c r="H53" s="124"/>
      <c r="I53" s="379">
        <f>'FY 19 State Pmt (Opt 3)'!BE52</f>
        <v>58840429.690000027</v>
      </c>
      <c r="J53" s="547" t="s">
        <v>705</v>
      </c>
      <c r="K53" s="540">
        <f t="shared" si="9"/>
        <v>58840429.690000027</v>
      </c>
      <c r="L53" s="124"/>
      <c r="M53" s="471">
        <f t="shared" si="11"/>
        <v>18975627.409005187</v>
      </c>
      <c r="N53" s="555">
        <f t="shared" si="12"/>
        <v>62537889.942489035</v>
      </c>
      <c r="O53" s="559">
        <f t="shared" si="13"/>
        <v>3697460.252489008</v>
      </c>
      <c r="P53" s="442">
        <f t="shared" si="14"/>
        <v>0.76720882590331085</v>
      </c>
      <c r="Q53" s="124">
        <f>M53/ITA!B51*1000</f>
        <v>95.623703587049732</v>
      </c>
      <c r="R53" s="124"/>
      <c r="S53" s="393">
        <f t="shared" si="15"/>
        <v>0</v>
      </c>
      <c r="T53" s="374">
        <f t="shared" si="16"/>
        <v>62537889.942489035</v>
      </c>
      <c r="U53" s="374">
        <f t="shared" si="17"/>
        <v>3697460.252489008</v>
      </c>
      <c r="V53" s="79">
        <f t="shared" si="18"/>
        <v>0.76720882590331085</v>
      </c>
      <c r="W53" s="180">
        <f t="shared" si="19"/>
        <v>18975627.409005187</v>
      </c>
      <c r="X53" s="124">
        <f>W53/ITA!B51*1000</f>
        <v>95.623703587049732</v>
      </c>
    </row>
    <row r="54" spans="1:24" x14ac:dyDescent="0.25">
      <c r="A54" s="125" t="s">
        <v>51</v>
      </c>
      <c r="B54" s="126">
        <v>5388.16</v>
      </c>
      <c r="C54" s="127">
        <f>ITA!G52</f>
        <v>4.7959803604162594E-3</v>
      </c>
      <c r="D54" s="382">
        <f>'Total Inst. Cost'!G52</f>
        <v>33626901.71245192</v>
      </c>
      <c r="E54" s="546" t="s">
        <v>705</v>
      </c>
      <c r="F54" s="384">
        <f>'District Services'!K61</f>
        <v>1349034.3350494609</v>
      </c>
      <c r="G54" s="405">
        <f t="shared" si="8"/>
        <v>34975936.047501378</v>
      </c>
      <c r="H54" s="134"/>
      <c r="I54" s="382">
        <f>'FY 19 State Pmt (Opt 3)'!BE53</f>
        <v>26912288.41</v>
      </c>
      <c r="J54" s="546" t="s">
        <v>705</v>
      </c>
      <c r="K54" s="539">
        <f t="shared" si="9"/>
        <v>26912288.41</v>
      </c>
      <c r="L54" s="134"/>
      <c r="M54" s="469">
        <f t="shared" si="11"/>
        <v>7151847.1782097993</v>
      </c>
      <c r="N54" s="554">
        <f t="shared" si="12"/>
        <v>27824088.869291577</v>
      </c>
      <c r="O54" s="560">
        <f t="shared" si="13"/>
        <v>911800.45929157734</v>
      </c>
      <c r="P54" s="441">
        <f t="shared" si="14"/>
        <v>0.79552092134155428</v>
      </c>
      <c r="Q54" s="134">
        <f>M54/ITA!B52*1000</f>
        <v>97.828843743955929</v>
      </c>
      <c r="R54" s="134"/>
      <c r="S54" s="392">
        <f t="shared" si="15"/>
        <v>0</v>
      </c>
      <c r="T54" s="373">
        <f t="shared" si="16"/>
        <v>27824088.869291577</v>
      </c>
      <c r="U54" s="373">
        <f t="shared" si="17"/>
        <v>911800.45929157734</v>
      </c>
      <c r="V54" s="132">
        <f t="shared" si="18"/>
        <v>0.79552092134155428</v>
      </c>
      <c r="W54" s="181">
        <f t="shared" si="19"/>
        <v>7151847.1782098003</v>
      </c>
      <c r="X54" s="134">
        <f>W54/ITA!B52*1000</f>
        <v>97.828843743955943</v>
      </c>
    </row>
    <row r="55" spans="1:24" x14ac:dyDescent="0.25">
      <c r="A55" s="123" t="s">
        <v>52</v>
      </c>
      <c r="B55" s="47">
        <v>2979.52</v>
      </c>
      <c r="C55" s="73">
        <f>ITA!G53</f>
        <v>2.5030207732305181E-3</v>
      </c>
      <c r="D55" s="379">
        <f>'Total Inst. Cost'!G53</f>
        <v>19091765.19578898</v>
      </c>
      <c r="E55" s="547" t="s">
        <v>705</v>
      </c>
      <c r="F55" s="381">
        <f>'District Services'!K62</f>
        <v>1248616.053971905</v>
      </c>
      <c r="G55" s="404">
        <f t="shared" si="8"/>
        <v>20340381.249760885</v>
      </c>
      <c r="H55" s="124"/>
      <c r="I55" s="379">
        <f>'FY 19 State Pmt (Opt 3)'!BE54</f>
        <v>15214040.259999998</v>
      </c>
      <c r="J55" s="547" t="s">
        <v>705</v>
      </c>
      <c r="K55" s="540">
        <f t="shared" si="9"/>
        <v>15214040.259999998</v>
      </c>
      <c r="L55" s="124"/>
      <c r="M55" s="471">
        <f t="shared" si="11"/>
        <v>3732546.9890947351</v>
      </c>
      <c r="N55" s="555">
        <f t="shared" si="12"/>
        <v>16607834.260666151</v>
      </c>
      <c r="O55" s="559">
        <f t="shared" si="13"/>
        <v>1393794.0006661527</v>
      </c>
      <c r="P55" s="442">
        <f t="shared" si="14"/>
        <v>0.81649572133075854</v>
      </c>
      <c r="Q55" s="124">
        <f>M55/ITA!B53*1000</f>
        <v>96.085046103630788</v>
      </c>
      <c r="R55" s="124"/>
      <c r="S55" s="393">
        <f t="shared" si="15"/>
        <v>0</v>
      </c>
      <c r="T55" s="374">
        <f t="shared" si="16"/>
        <v>16607834.260666151</v>
      </c>
      <c r="U55" s="374">
        <f t="shared" si="17"/>
        <v>1393794.0006661527</v>
      </c>
      <c r="V55" s="79">
        <f t="shared" si="18"/>
        <v>0.81649572133075854</v>
      </c>
      <c r="W55" s="180">
        <f t="shared" si="19"/>
        <v>3732546.9890947342</v>
      </c>
      <c r="X55" s="124">
        <f>W55/ITA!B53*1000</f>
        <v>96.085046103630759</v>
      </c>
    </row>
    <row r="56" spans="1:24" x14ac:dyDescent="0.25">
      <c r="A56" s="125" t="s">
        <v>53</v>
      </c>
      <c r="B56" s="126">
        <v>1729.85</v>
      </c>
      <c r="C56" s="127">
        <f>ITA!G54</f>
        <v>1.8781068635406182E-3</v>
      </c>
      <c r="D56" s="382">
        <f>'Total Inst. Cost'!G54</f>
        <v>10908566.86079569</v>
      </c>
      <c r="E56" s="546" t="s">
        <v>705</v>
      </c>
      <c r="F56" s="384">
        <f>'District Services'!K63</f>
        <v>1189646.8528093267</v>
      </c>
      <c r="G56" s="405">
        <f t="shared" si="8"/>
        <v>12098213.713605016</v>
      </c>
      <c r="H56" s="134"/>
      <c r="I56" s="382">
        <f>'FY 19 State Pmt (Opt 3)'!BE55</f>
        <v>8464504.8400000017</v>
      </c>
      <c r="J56" s="546" t="s">
        <v>705</v>
      </c>
      <c r="K56" s="539">
        <f t="shared" si="9"/>
        <v>8464504.8400000017</v>
      </c>
      <c r="L56" s="134"/>
      <c r="M56" s="469">
        <f t="shared" si="11"/>
        <v>2800664.7782068118</v>
      </c>
      <c r="N56" s="554">
        <f t="shared" si="12"/>
        <v>9297548.9353982043</v>
      </c>
      <c r="O56" s="560">
        <f t="shared" si="13"/>
        <v>833044.09539820254</v>
      </c>
      <c r="P56" s="441">
        <f t="shared" si="14"/>
        <v>0.76850592620484692</v>
      </c>
      <c r="Q56" s="134">
        <f>M56/ITA!B54*1000</f>
        <v>102.59489096172268</v>
      </c>
      <c r="R56" s="134"/>
      <c r="S56" s="392">
        <f t="shared" si="15"/>
        <v>0</v>
      </c>
      <c r="T56" s="373">
        <f t="shared" si="16"/>
        <v>9297548.9353982043</v>
      </c>
      <c r="U56" s="373">
        <f t="shared" si="17"/>
        <v>833044.09539820254</v>
      </c>
      <c r="V56" s="132">
        <f t="shared" si="18"/>
        <v>0.76850592620484692</v>
      </c>
      <c r="W56" s="181">
        <f t="shared" si="19"/>
        <v>2800664.7782068122</v>
      </c>
      <c r="X56" s="134">
        <f>W56/ITA!B54*1000</f>
        <v>102.5948909617227</v>
      </c>
    </row>
    <row r="57" spans="1:24" x14ac:dyDescent="0.25">
      <c r="A57" s="123" t="s">
        <v>54</v>
      </c>
      <c r="B57" s="47">
        <v>25998.85</v>
      </c>
      <c r="C57" s="73">
        <f>ITA!G55</f>
        <v>2.005908325284041E-2</v>
      </c>
      <c r="D57" s="379">
        <f>'Total Inst. Cost'!G55</f>
        <v>149246473.9936707</v>
      </c>
      <c r="E57" s="547" t="s">
        <v>705</v>
      </c>
      <c r="F57" s="381">
        <f>'District Services'!K64</f>
        <v>4264056.7707009455</v>
      </c>
      <c r="G57" s="406">
        <f t="shared" si="8"/>
        <v>153510530.76437163</v>
      </c>
      <c r="H57" s="124"/>
      <c r="I57" s="379">
        <f>'FY 19 State Pmt (Opt 3)'!BE56</f>
        <v>120735674.26000001</v>
      </c>
      <c r="J57" s="547" t="s">
        <v>705</v>
      </c>
      <c r="K57" s="540">
        <f t="shared" si="9"/>
        <v>120735674.26000001</v>
      </c>
      <c r="L57" s="124"/>
      <c r="M57" s="471">
        <f t="shared" si="11"/>
        <v>29912444.834709622</v>
      </c>
      <c r="N57" s="555">
        <f t="shared" si="12"/>
        <v>123598085.92966202</v>
      </c>
      <c r="O57" s="559">
        <f t="shared" si="13"/>
        <v>2862411.6696620136</v>
      </c>
      <c r="P57" s="442">
        <f t="shared" si="14"/>
        <v>0.80514402050616829</v>
      </c>
      <c r="Q57" s="124">
        <f>M57/ITA!B55*1000</f>
        <v>97.854688683413954</v>
      </c>
      <c r="R57" s="124"/>
      <c r="S57" s="393">
        <f t="shared" si="15"/>
        <v>0</v>
      </c>
      <c r="T57" s="374">
        <f t="shared" si="16"/>
        <v>123598085.92966202</v>
      </c>
      <c r="U57" s="374">
        <f t="shared" si="17"/>
        <v>2862411.6696620136</v>
      </c>
      <c r="V57" s="79">
        <f t="shared" si="18"/>
        <v>0.80514402050616829</v>
      </c>
      <c r="W57" s="180">
        <f t="shared" si="19"/>
        <v>29912444.834709615</v>
      </c>
      <c r="X57" s="124">
        <f>W57/ITA!B55*1000</f>
        <v>97.85468868341394</v>
      </c>
    </row>
    <row r="58" spans="1:24" x14ac:dyDescent="0.25">
      <c r="A58" s="125" t="s">
        <v>55</v>
      </c>
      <c r="B58" s="126">
        <v>8632.56</v>
      </c>
      <c r="C58" s="127">
        <f>ITA!G56</f>
        <v>1.3605807122683573E-2</v>
      </c>
      <c r="D58" s="382">
        <f>'Total Inst. Cost'!G56</f>
        <v>54087699.372368112</v>
      </c>
      <c r="E58" s="546" t="s">
        <v>705</v>
      </c>
      <c r="F58" s="384">
        <f>'District Services'!K65</f>
        <v>2398518.5535541018</v>
      </c>
      <c r="G58" s="405">
        <f t="shared" si="8"/>
        <v>56486217.925922215</v>
      </c>
      <c r="H58" s="134"/>
      <c r="I58" s="382">
        <f>'FY 19 State Pmt (Opt 3)'!BE57</f>
        <v>36253007.539999999</v>
      </c>
      <c r="J58" s="546" t="s">
        <v>705</v>
      </c>
      <c r="K58" s="539">
        <f t="shared" si="9"/>
        <v>36253007.539999999</v>
      </c>
      <c r="L58" s="134"/>
      <c r="M58" s="469">
        <f t="shared" si="11"/>
        <v>20289210.122867502</v>
      </c>
      <c r="N58" s="554">
        <f t="shared" si="12"/>
        <v>36197007.803054713</v>
      </c>
      <c r="O58" s="560">
        <f t="shared" si="13"/>
        <v>-55999.736945286393</v>
      </c>
      <c r="P58" s="441">
        <f t="shared" si="14"/>
        <v>0.64081131879858899</v>
      </c>
      <c r="Q58" s="134">
        <f>M58/ITA!B56*1000</f>
        <v>87.8851291137278</v>
      </c>
      <c r="R58" s="134"/>
      <c r="S58" s="392">
        <f t="shared" si="15"/>
        <v>55999.736945286393</v>
      </c>
      <c r="T58" s="373">
        <f t="shared" si="16"/>
        <v>36253007.539999999</v>
      </c>
      <c r="U58" s="373">
        <f t="shared" si="17"/>
        <v>0</v>
      </c>
      <c r="V58" s="132">
        <f t="shared" si="18"/>
        <v>0.64180270641492265</v>
      </c>
      <c r="W58" s="181">
        <f t="shared" si="19"/>
        <v>20233210.385922216</v>
      </c>
      <c r="X58" s="134">
        <f>W58/ITA!B56*1000</f>
        <v>87.642559586281081</v>
      </c>
    </row>
    <row r="59" spans="1:24" x14ac:dyDescent="0.25">
      <c r="A59" s="123" t="s">
        <v>56</v>
      </c>
      <c r="B59" s="47">
        <v>1939.18</v>
      </c>
      <c r="C59" s="73">
        <f>ITA!G57</f>
        <v>1.9101549483480742E-3</v>
      </c>
      <c r="D59" s="379">
        <f>'Total Inst. Cost'!G57</f>
        <v>12122426.907368965</v>
      </c>
      <c r="E59" s="547" t="s">
        <v>705</v>
      </c>
      <c r="F59" s="381">
        <f>'District Services'!K66</f>
        <v>1197752.7527392642</v>
      </c>
      <c r="G59" s="404">
        <f t="shared" si="8"/>
        <v>13320179.660108229</v>
      </c>
      <c r="H59" s="124"/>
      <c r="I59" s="379">
        <f>'FY 19 State Pmt (Opt 3)'!BE58</f>
        <v>9431164.6500000004</v>
      </c>
      <c r="J59" s="547" t="s">
        <v>705</v>
      </c>
      <c r="K59" s="540">
        <f t="shared" si="9"/>
        <v>9431164.6500000004</v>
      </c>
      <c r="L59" s="124"/>
      <c r="M59" s="471">
        <f t="shared" si="11"/>
        <v>2848455.4253055705</v>
      </c>
      <c r="N59" s="555">
        <f t="shared" si="12"/>
        <v>10471724.23480266</v>
      </c>
      <c r="O59" s="559">
        <f t="shared" si="13"/>
        <v>1040559.5848026592</v>
      </c>
      <c r="P59" s="442">
        <f t="shared" si="14"/>
        <v>0.78615487943933449</v>
      </c>
      <c r="Q59" s="124">
        <f>M59/ITA!B57*1000</f>
        <v>95.31172811033521</v>
      </c>
      <c r="R59" s="124"/>
      <c r="S59" s="393">
        <f t="shared" si="15"/>
        <v>0</v>
      </c>
      <c r="T59" s="374">
        <f t="shared" si="16"/>
        <v>10471724.23480266</v>
      </c>
      <c r="U59" s="374">
        <f t="shared" si="17"/>
        <v>1040559.5848026592</v>
      </c>
      <c r="V59" s="79">
        <f t="shared" si="18"/>
        <v>0.78615487943933449</v>
      </c>
      <c r="W59" s="180">
        <f t="shared" si="19"/>
        <v>2848455.4253055695</v>
      </c>
      <c r="X59" s="124">
        <f>W59/ITA!B57*1000</f>
        <v>95.311728110335181</v>
      </c>
    </row>
    <row r="60" spans="1:24" x14ac:dyDescent="0.25">
      <c r="A60" s="125" t="s">
        <v>57</v>
      </c>
      <c r="B60" s="126">
        <v>3124.12</v>
      </c>
      <c r="C60" s="127">
        <f>ITA!G58</f>
        <v>1.4954821543105516E-3</v>
      </c>
      <c r="D60" s="382">
        <f>'Total Inst. Cost'!G58</f>
        <v>20358429.357592933</v>
      </c>
      <c r="E60" s="546" t="s">
        <v>705</v>
      </c>
      <c r="F60" s="384">
        <f>'District Services'!K67</f>
        <v>1255816.3446834737</v>
      </c>
      <c r="G60" s="405">
        <f t="shared" si="8"/>
        <v>21614245.702276405</v>
      </c>
      <c r="H60" s="134"/>
      <c r="I60" s="382">
        <f>'FY 19 State Pmt (Opt 3)'!BE59</f>
        <v>17487627.870000005</v>
      </c>
      <c r="J60" s="546" t="s">
        <v>705</v>
      </c>
      <c r="K60" s="539">
        <f t="shared" si="9"/>
        <v>17487627.870000005</v>
      </c>
      <c r="L60" s="134"/>
      <c r="M60" s="469">
        <f t="shared" si="11"/>
        <v>2230088.3284769612</v>
      </c>
      <c r="N60" s="554">
        <f t="shared" si="12"/>
        <v>19384157.373799443</v>
      </c>
      <c r="O60" s="560">
        <f t="shared" si="13"/>
        <v>1896529.5037994385</v>
      </c>
      <c r="P60" s="441">
        <f t="shared" si="14"/>
        <v>0.89682321746522531</v>
      </c>
      <c r="Q60" s="134">
        <f>M60/ITA!B58*1000</f>
        <v>96.641885078150551</v>
      </c>
      <c r="R60" s="134"/>
      <c r="S60" s="392">
        <f t="shared" si="15"/>
        <v>0</v>
      </c>
      <c r="T60" s="373">
        <f t="shared" si="16"/>
        <v>19384157.373799443</v>
      </c>
      <c r="U60" s="373">
        <f t="shared" si="17"/>
        <v>1896529.5037994385</v>
      </c>
      <c r="V60" s="132">
        <f t="shared" si="18"/>
        <v>0.89682321746522531</v>
      </c>
      <c r="W60" s="181">
        <f t="shared" si="19"/>
        <v>2230088.3284769617</v>
      </c>
      <c r="X60" s="134">
        <f>W60/ITA!B58*1000</f>
        <v>96.64188507815058</v>
      </c>
    </row>
    <row r="61" spans="1:24" x14ac:dyDescent="0.25">
      <c r="A61" s="123" t="s">
        <v>58</v>
      </c>
      <c r="B61" s="47">
        <v>16899.259999999998</v>
      </c>
      <c r="C61" s="73">
        <f>ITA!G59</f>
        <v>1.9042482983220387E-2</v>
      </c>
      <c r="D61" s="379">
        <f>'Total Inst. Cost'!G59</f>
        <v>96678518.960273594</v>
      </c>
      <c r="E61" s="547" t="s">
        <v>705</v>
      </c>
      <c r="F61" s="381">
        <f>'District Services'!K68</f>
        <v>3899728.6975525306</v>
      </c>
      <c r="G61" s="407">
        <f t="shared" si="8"/>
        <v>100578247.65782613</v>
      </c>
      <c r="H61" s="124"/>
      <c r="I61" s="379">
        <f>'FY 19 State Pmt (Opt 3)'!BE60</f>
        <v>73028959.930000007</v>
      </c>
      <c r="J61" s="547" t="s">
        <v>705</v>
      </c>
      <c r="K61" s="540">
        <f t="shared" si="9"/>
        <v>73028959.930000007</v>
      </c>
      <c r="L61" s="124"/>
      <c r="M61" s="471">
        <f t="shared" si="11"/>
        <v>28396473.287024166</v>
      </c>
      <c r="N61" s="555">
        <f t="shared" si="12"/>
        <v>72181774.370801955</v>
      </c>
      <c r="O61" s="559">
        <f t="shared" si="13"/>
        <v>-847185.55919805169</v>
      </c>
      <c r="P61" s="442">
        <f t="shared" si="14"/>
        <v>0.71766784619641755</v>
      </c>
      <c r="Q61" s="124">
        <f>M61/ITA!B59*1000</f>
        <v>106.6660272184137</v>
      </c>
      <c r="R61" s="124"/>
      <c r="S61" s="393">
        <f t="shared" si="15"/>
        <v>847185.55919805169</v>
      </c>
      <c r="T61" s="374">
        <f t="shared" si="16"/>
        <v>73028959.930000007</v>
      </c>
      <c r="U61" s="374">
        <f t="shared" si="17"/>
        <v>0</v>
      </c>
      <c r="V61" s="79">
        <f t="shared" si="18"/>
        <v>0.72609099512699182</v>
      </c>
      <c r="W61" s="180">
        <f t="shared" si="19"/>
        <v>27549287.727826118</v>
      </c>
      <c r="X61" s="124">
        <f>W61/ITA!B59*1000</f>
        <v>103.48373352288783</v>
      </c>
    </row>
    <row r="62" spans="1:24" x14ac:dyDescent="0.25">
      <c r="A62" s="125" t="s">
        <v>59</v>
      </c>
      <c r="B62" s="126">
        <v>4230.8599999999997</v>
      </c>
      <c r="C62" s="127">
        <f>ITA!G60</f>
        <v>3.7758176508835622E-3</v>
      </c>
      <c r="D62" s="382">
        <f>'Total Inst. Cost'!G60</f>
        <v>26956286.689875893</v>
      </c>
      <c r="E62" s="546" t="s">
        <v>705</v>
      </c>
      <c r="F62" s="384">
        <f>'District Services'!K69</f>
        <v>1307759.7078050536</v>
      </c>
      <c r="G62" s="405">
        <f t="shared" si="8"/>
        <v>28264046.397680946</v>
      </c>
      <c r="H62" s="134"/>
      <c r="I62" s="382">
        <f>'FY 19 State Pmt (Opt 3)'!BE61</f>
        <v>20695768.679999992</v>
      </c>
      <c r="J62" s="546" t="s">
        <v>705</v>
      </c>
      <c r="K62" s="539">
        <f t="shared" si="9"/>
        <v>20695768.679999992</v>
      </c>
      <c r="L62" s="134"/>
      <c r="M62" s="469">
        <f t="shared" si="11"/>
        <v>5630563.2597633451</v>
      </c>
      <c r="N62" s="554">
        <f t="shared" si="12"/>
        <v>22633483.137917601</v>
      </c>
      <c r="O62" s="560">
        <f t="shared" si="13"/>
        <v>1937714.4579176083</v>
      </c>
      <c r="P62" s="441">
        <f t="shared" si="14"/>
        <v>0.80078707837723717</v>
      </c>
      <c r="Q62" s="134">
        <f>M62/ITA!B60*1000</f>
        <v>102.88871198728461</v>
      </c>
      <c r="R62" s="134"/>
      <c r="S62" s="392">
        <f t="shared" si="15"/>
        <v>0</v>
      </c>
      <c r="T62" s="373">
        <f t="shared" si="16"/>
        <v>22633483.137917601</v>
      </c>
      <c r="U62" s="373">
        <f t="shared" si="17"/>
        <v>1937714.4579176083</v>
      </c>
      <c r="V62" s="132">
        <f t="shared" si="18"/>
        <v>0.80078707837723717</v>
      </c>
      <c r="W62" s="181">
        <f t="shared" si="19"/>
        <v>5630563.2597633451</v>
      </c>
      <c r="X62" s="134">
        <f>W62/ITA!B60*1000</f>
        <v>102.88871198728461</v>
      </c>
    </row>
    <row r="63" spans="1:24" x14ac:dyDescent="0.25">
      <c r="A63" s="123" t="s">
        <v>60</v>
      </c>
      <c r="B63" s="47">
        <v>3684.37</v>
      </c>
      <c r="C63" s="73">
        <f>ITA!G61</f>
        <v>3.2699939006996803E-3</v>
      </c>
      <c r="D63" s="379">
        <f>'Total Inst. Cost'!G61</f>
        <v>23031937.931125272</v>
      </c>
      <c r="E63" s="547" t="s">
        <v>705</v>
      </c>
      <c r="F63" s="381">
        <f>'District Services'!K70</f>
        <v>1277164.8946310354</v>
      </c>
      <c r="G63" s="404">
        <f t="shared" si="8"/>
        <v>24309102.825756308</v>
      </c>
      <c r="H63" s="124"/>
      <c r="I63" s="379">
        <f>'FY 19 State Pmt (Opt 3)'!BE62</f>
        <v>18409391.289999995</v>
      </c>
      <c r="J63" s="547" t="s">
        <v>705</v>
      </c>
      <c r="K63" s="540">
        <f t="shared" si="9"/>
        <v>18409391.289999995</v>
      </c>
      <c r="L63" s="124"/>
      <c r="M63" s="471">
        <f t="shared" si="11"/>
        <v>4876270.3126358241</v>
      </c>
      <c r="N63" s="555">
        <f t="shared" si="12"/>
        <v>19432832.513120484</v>
      </c>
      <c r="O63" s="559">
        <f t="shared" si="13"/>
        <v>1023441.2231204882</v>
      </c>
      <c r="P63" s="442">
        <f t="shared" si="14"/>
        <v>0.79940558285560204</v>
      </c>
      <c r="Q63" s="124">
        <f>M63/ITA!B61*1000</f>
        <v>86.631187855176606</v>
      </c>
      <c r="R63" s="124"/>
      <c r="S63" s="393">
        <f t="shared" si="15"/>
        <v>0</v>
      </c>
      <c r="T63" s="374">
        <f t="shared" si="16"/>
        <v>19432832.513120484</v>
      </c>
      <c r="U63" s="374">
        <f t="shared" si="17"/>
        <v>1023441.2231204882</v>
      </c>
      <c r="V63" s="79">
        <f t="shared" si="18"/>
        <v>0.79940558285560204</v>
      </c>
      <c r="W63" s="180">
        <f t="shared" si="19"/>
        <v>4876270.3126358241</v>
      </c>
      <c r="X63" s="124">
        <f>W63/ITA!B61*1000</f>
        <v>86.631187855176606</v>
      </c>
    </row>
    <row r="64" spans="1:24" x14ac:dyDescent="0.25">
      <c r="A64" s="125" t="s">
        <v>61</v>
      </c>
      <c r="B64" s="126">
        <v>665.85</v>
      </c>
      <c r="C64" s="127">
        <f>ITA!G62</f>
        <v>1.8045097453731861E-3</v>
      </c>
      <c r="D64" s="382">
        <f>'Total Inst. Cost'!G62</f>
        <v>4237023.9889165387</v>
      </c>
      <c r="E64" s="546" t="s">
        <v>705</v>
      </c>
      <c r="F64" s="384">
        <f>'District Services'!K71</f>
        <v>1142403.0222093277</v>
      </c>
      <c r="G64" s="405">
        <f t="shared" si="8"/>
        <v>5379427.0111258663</v>
      </c>
      <c r="H64" s="134"/>
      <c r="I64" s="382">
        <f>'FY 19 State Pmt (Opt 3)'!BE63</f>
        <v>2252219.2900000005</v>
      </c>
      <c r="J64" s="546" t="s">
        <v>705</v>
      </c>
      <c r="K64" s="539">
        <f t="shared" si="9"/>
        <v>2252219.2900000005</v>
      </c>
      <c r="L64" s="134"/>
      <c r="M64" s="469">
        <f t="shared" si="11"/>
        <v>2690915.5085404031</v>
      </c>
      <c r="N64" s="554">
        <f t="shared" si="12"/>
        <v>2688511.5025854632</v>
      </c>
      <c r="O64" s="560">
        <f t="shared" si="13"/>
        <v>436292.21258546272</v>
      </c>
      <c r="P64" s="441">
        <f t="shared" si="14"/>
        <v>0.49977655557460227</v>
      </c>
      <c r="Q64" s="134">
        <f>M64/ITA!B62*1000</f>
        <v>101.44164023730788</v>
      </c>
      <c r="R64" s="134"/>
      <c r="S64" s="392">
        <f t="shared" si="15"/>
        <v>0</v>
      </c>
      <c r="T64" s="373">
        <f t="shared" si="16"/>
        <v>2688511.5025854632</v>
      </c>
      <c r="U64" s="373">
        <f t="shared" si="17"/>
        <v>436292.21258546272</v>
      </c>
      <c r="V64" s="132">
        <f t="shared" si="18"/>
        <v>0.49977655557460227</v>
      </c>
      <c r="W64" s="181">
        <f t="shared" si="19"/>
        <v>2690915.5085404031</v>
      </c>
      <c r="X64" s="134">
        <f>W64/ITA!B62*1000</f>
        <v>101.44164023730788</v>
      </c>
    </row>
    <row r="65" spans="1:24" x14ac:dyDescent="0.25">
      <c r="A65" s="123" t="s">
        <v>62</v>
      </c>
      <c r="B65" s="47">
        <v>5751.42</v>
      </c>
      <c r="C65" s="73">
        <f>ITA!G63</f>
        <v>6.6497560666035739E-3</v>
      </c>
      <c r="D65" s="379">
        <f>'Total Inst. Cost'!G63</f>
        <v>35393010.819653735</v>
      </c>
      <c r="E65" s="547" t="s">
        <v>705</v>
      </c>
      <c r="F65" s="381">
        <f>'District Services'!K72</f>
        <v>1360504.364746399</v>
      </c>
      <c r="G65" s="406">
        <f t="shared" si="8"/>
        <v>36753515.184400134</v>
      </c>
      <c r="H65" s="124"/>
      <c r="I65" s="379">
        <f>'FY 19 State Pmt (Opt 3)'!BE64</f>
        <v>26228500.999999996</v>
      </c>
      <c r="J65" s="547" t="s">
        <v>705</v>
      </c>
      <c r="K65" s="540">
        <f t="shared" si="9"/>
        <v>26228500.999999996</v>
      </c>
      <c r="L65" s="124"/>
      <c r="M65" s="471">
        <f t="shared" si="11"/>
        <v>9916228.9222957827</v>
      </c>
      <c r="N65" s="555">
        <f t="shared" si="12"/>
        <v>26837286.262104351</v>
      </c>
      <c r="O65" s="559">
        <f t="shared" si="13"/>
        <v>608785.2621043548</v>
      </c>
      <c r="P65" s="442">
        <f t="shared" si="14"/>
        <v>0.73019644862419364</v>
      </c>
      <c r="Q65" s="124">
        <f>M65/ITA!B63*1000</f>
        <v>94.889312462285531</v>
      </c>
      <c r="R65" s="124"/>
      <c r="S65" s="393">
        <f t="shared" si="15"/>
        <v>0</v>
      </c>
      <c r="T65" s="374">
        <f t="shared" si="16"/>
        <v>26837286.262104351</v>
      </c>
      <c r="U65" s="374">
        <f t="shared" si="17"/>
        <v>608785.2621043548</v>
      </c>
      <c r="V65" s="79">
        <f t="shared" si="18"/>
        <v>0.73019644862419364</v>
      </c>
      <c r="W65" s="180">
        <f t="shared" si="19"/>
        <v>9916228.9222957827</v>
      </c>
      <c r="X65" s="124">
        <f>W65/ITA!B63*1000</f>
        <v>94.889312462285531</v>
      </c>
    </row>
    <row r="66" spans="1:24" x14ac:dyDescent="0.25">
      <c r="A66" s="125" t="s">
        <v>63</v>
      </c>
      <c r="B66" s="126">
        <v>10099.5</v>
      </c>
      <c r="C66" s="127">
        <f>ITA!G64</f>
        <v>2.5187875044780598E-2</v>
      </c>
      <c r="D66" s="382">
        <f>'Total Inst. Cost'!G64</f>
        <v>62305314.79242982</v>
      </c>
      <c r="E66" s="546" t="s">
        <v>705</v>
      </c>
      <c r="F66" s="384">
        <f>'District Services'!K73</f>
        <v>2915466.4729883629</v>
      </c>
      <c r="G66" s="405">
        <f t="shared" si="8"/>
        <v>65220781.265418179</v>
      </c>
      <c r="H66" s="134"/>
      <c r="I66" s="382">
        <f>'FY 19 State Pmt (Opt 3)'!BE65</f>
        <v>30948785.40000001</v>
      </c>
      <c r="J66" s="546" t="s">
        <v>705</v>
      </c>
      <c r="K66" s="539">
        <f t="shared" si="9"/>
        <v>30948785.40000001</v>
      </c>
      <c r="L66" s="134"/>
      <c r="M66" s="469">
        <f t="shared" si="11"/>
        <v>37560586.058880396</v>
      </c>
      <c r="N66" s="554">
        <f t="shared" si="12"/>
        <v>27660195.206537783</v>
      </c>
      <c r="O66" s="560">
        <f t="shared" si="13"/>
        <v>-3288590.1934622265</v>
      </c>
      <c r="P66" s="441">
        <f t="shared" si="14"/>
        <v>0.42410094865275655</v>
      </c>
      <c r="Q66" s="134">
        <f>M66/ITA!B64*1000</f>
        <v>89.111866722272921</v>
      </c>
      <c r="R66" s="134"/>
      <c r="S66" s="392">
        <f t="shared" si="15"/>
        <v>3288590.1934622265</v>
      </c>
      <c r="T66" s="373">
        <f t="shared" si="16"/>
        <v>30948785.40000001</v>
      </c>
      <c r="U66" s="373">
        <f t="shared" si="17"/>
        <v>0</v>
      </c>
      <c r="V66" s="132">
        <f t="shared" si="18"/>
        <v>0.47452337735809819</v>
      </c>
      <c r="W66" s="181">
        <f t="shared" si="19"/>
        <v>34271995.865418166</v>
      </c>
      <c r="X66" s="134">
        <f>W66/ITA!B64*1000</f>
        <v>81.309741096102243</v>
      </c>
    </row>
    <row r="67" spans="1:24" x14ac:dyDescent="0.25">
      <c r="A67" s="123" t="s">
        <v>64</v>
      </c>
      <c r="B67" s="47">
        <v>2483.25</v>
      </c>
      <c r="C67" s="73">
        <f>ITA!G65</f>
        <v>3.151324962926463E-3</v>
      </c>
      <c r="D67" s="379">
        <f>'Total Inst. Cost'!G65</f>
        <v>15750801.596492043</v>
      </c>
      <c r="E67" s="547" t="s">
        <v>705</v>
      </c>
      <c r="F67" s="381">
        <f>'District Services'!K74</f>
        <v>1224440.274867411</v>
      </c>
      <c r="G67" s="404">
        <f t="shared" si="8"/>
        <v>16975241.871359453</v>
      </c>
      <c r="H67" s="124"/>
      <c r="I67" s="379">
        <f>'FY 19 State Pmt (Opt 3)'!BE66</f>
        <v>11671757.899999997</v>
      </c>
      <c r="J67" s="547" t="s">
        <v>705</v>
      </c>
      <c r="K67" s="540">
        <f t="shared" si="9"/>
        <v>11671757.899999997</v>
      </c>
      <c r="L67" s="124"/>
      <c r="M67" s="471">
        <f t="shared" si="11"/>
        <v>4699309.1818607021</v>
      </c>
      <c r="N67" s="555">
        <f t="shared" si="12"/>
        <v>12275932.68949875</v>
      </c>
      <c r="O67" s="559">
        <f t="shared" si="13"/>
        <v>604174.78949875385</v>
      </c>
      <c r="P67" s="442">
        <f t="shared" si="14"/>
        <v>0.72316687930147527</v>
      </c>
      <c r="Q67" s="124">
        <f>M67/ITA!B65*1000</f>
        <v>87.243712128888944</v>
      </c>
      <c r="R67" s="124"/>
      <c r="S67" s="393">
        <f t="shared" si="15"/>
        <v>0</v>
      </c>
      <c r="T67" s="374">
        <f t="shared" si="16"/>
        <v>12275932.68949875</v>
      </c>
      <c r="U67" s="374">
        <f t="shared" si="17"/>
        <v>604174.78949875385</v>
      </c>
      <c r="V67" s="79">
        <f t="shared" si="18"/>
        <v>0.72316687930147527</v>
      </c>
      <c r="W67" s="180">
        <f t="shared" si="19"/>
        <v>4699309.1818607021</v>
      </c>
      <c r="X67" s="124">
        <f>W67/ITA!B65*1000</f>
        <v>87.243712128888944</v>
      </c>
    </row>
    <row r="68" spans="1:24" x14ac:dyDescent="0.25">
      <c r="A68" s="125" t="s">
        <v>65</v>
      </c>
      <c r="B68" s="126">
        <v>3390.2</v>
      </c>
      <c r="C68" s="127">
        <f>ITA!G66</f>
        <v>3.3639704651012227E-3</v>
      </c>
      <c r="D68" s="382">
        <f>'Total Inst. Cost'!G66</f>
        <v>20594441.994047031</v>
      </c>
      <c r="E68" s="546" t="s">
        <v>705</v>
      </c>
      <c r="F68" s="384">
        <f>'District Services'!K75</f>
        <v>1258906.3420880197</v>
      </c>
      <c r="G68" s="405">
        <f t="shared" si="8"/>
        <v>21853348.336135052</v>
      </c>
      <c r="H68" s="134"/>
      <c r="I68" s="382">
        <f>'FY 19 State Pmt (Opt 3)'!BE67</f>
        <v>15734150.820000002</v>
      </c>
      <c r="J68" s="546" t="s">
        <v>705</v>
      </c>
      <c r="K68" s="539">
        <f t="shared" si="9"/>
        <v>15734150.820000002</v>
      </c>
      <c r="L68" s="134"/>
      <c r="M68" s="469">
        <f t="shared" si="11"/>
        <v>5016409.7578429533</v>
      </c>
      <c r="N68" s="554">
        <f t="shared" si="12"/>
        <v>16836938.578292098</v>
      </c>
      <c r="O68" s="560">
        <f t="shared" si="13"/>
        <v>1102787.7582920957</v>
      </c>
      <c r="P68" s="441">
        <f t="shared" si="14"/>
        <v>0.77045120588920479</v>
      </c>
      <c r="Q68" s="134">
        <f>M68/ITA!B66*1000</f>
        <v>83.538543499616907</v>
      </c>
      <c r="R68" s="134"/>
      <c r="S68" s="392">
        <f t="shared" si="15"/>
        <v>0</v>
      </c>
      <c r="T68" s="373">
        <f t="shared" si="16"/>
        <v>16836938.578292098</v>
      </c>
      <c r="U68" s="373">
        <f t="shared" si="17"/>
        <v>1102787.7582920957</v>
      </c>
      <c r="V68" s="132">
        <f t="shared" si="18"/>
        <v>0.77045120588920479</v>
      </c>
      <c r="W68" s="181">
        <f t="shared" si="19"/>
        <v>5016409.7578429542</v>
      </c>
      <c r="X68" s="134">
        <f>W68/ITA!B66*1000</f>
        <v>83.538543499616921</v>
      </c>
    </row>
    <row r="69" spans="1:24" x14ac:dyDescent="0.25">
      <c r="A69" s="123" t="s">
        <v>66</v>
      </c>
      <c r="B69" s="47">
        <v>6118.74</v>
      </c>
      <c r="C69" s="73">
        <f>ITA!G67</f>
        <v>7.9762679939716884E-3</v>
      </c>
      <c r="D69" s="379">
        <f>'Total Inst. Cost'!G67</f>
        <v>37676667.74248448</v>
      </c>
      <c r="E69" s="547" t="s">
        <v>705</v>
      </c>
      <c r="F69" s="381">
        <f>'District Services'!K76</f>
        <v>1533116.946011815</v>
      </c>
      <c r="G69" s="406">
        <f t="shared" si="8"/>
        <v>39209784.688496292</v>
      </c>
      <c r="H69" s="124"/>
      <c r="I69" s="379">
        <f>'FY 19 State Pmt (Opt 3)'!BE68</f>
        <v>27343189.34</v>
      </c>
      <c r="J69" s="547" t="s">
        <v>705</v>
      </c>
      <c r="K69" s="540">
        <f t="shared" si="9"/>
        <v>27343189.34</v>
      </c>
      <c r="L69" s="124"/>
      <c r="M69" s="471">
        <f t="shared" si="11"/>
        <v>11894345.985265967</v>
      </c>
      <c r="N69" s="555">
        <f t="shared" si="12"/>
        <v>27315438.703230325</v>
      </c>
      <c r="O69" s="559">
        <f t="shared" si="13"/>
        <v>-27750.636769674718</v>
      </c>
      <c r="P69" s="442">
        <f t="shared" si="14"/>
        <v>0.69664852587788795</v>
      </c>
      <c r="Q69" s="124">
        <f>M69/ITA!B67*1000</f>
        <v>86.899047608341078</v>
      </c>
      <c r="R69" s="124"/>
      <c r="S69" s="393">
        <f t="shared" si="15"/>
        <v>27750.636769674718</v>
      </c>
      <c r="T69" s="374">
        <f t="shared" si="16"/>
        <v>27343189.34</v>
      </c>
      <c r="U69" s="374">
        <f t="shared" si="17"/>
        <v>0</v>
      </c>
      <c r="V69" s="79">
        <f t="shared" si="18"/>
        <v>0.69735627362478692</v>
      </c>
      <c r="W69" s="180">
        <f t="shared" si="19"/>
        <v>11866595.348496292</v>
      </c>
      <c r="X69" s="124">
        <f>W69/ITA!B67*1000</f>
        <v>86.696303892226126</v>
      </c>
    </row>
    <row r="70" spans="1:24" x14ac:dyDescent="0.25">
      <c r="A70" s="125" t="s">
        <v>67</v>
      </c>
      <c r="B70" s="126">
        <v>15618.17</v>
      </c>
      <c r="C70" s="127">
        <f>ITA!G68</f>
        <v>2.1300625819308822E-2</v>
      </c>
      <c r="D70" s="382">
        <f>'Total Inst. Cost'!G68</f>
        <v>91978010.13056688</v>
      </c>
      <c r="E70" s="546" t="s">
        <v>705</v>
      </c>
      <c r="F70" s="384">
        <f>'District Services'!K77</f>
        <v>3872610.0483937324</v>
      </c>
      <c r="G70" s="405">
        <f t="shared" si="8"/>
        <v>95850620.178960606</v>
      </c>
      <c r="H70" s="134"/>
      <c r="I70" s="382">
        <f>'FY 19 State Pmt (Opt 3)'!BE69</f>
        <v>63538122.899999984</v>
      </c>
      <c r="J70" s="546" t="s">
        <v>705</v>
      </c>
      <c r="K70" s="539">
        <f t="shared" si="9"/>
        <v>63538122.899999984</v>
      </c>
      <c r="L70" s="134"/>
      <c r="M70" s="469">
        <f t="shared" si="11"/>
        <v>31763854.146955807</v>
      </c>
      <c r="N70" s="554">
        <f t="shared" si="12"/>
        <v>64086766.032004803</v>
      </c>
      <c r="O70" s="560">
        <f t="shared" si="13"/>
        <v>548643.13200481981</v>
      </c>
      <c r="P70" s="441">
        <f t="shared" si="14"/>
        <v>0.66861086461777497</v>
      </c>
      <c r="Q70" s="134">
        <f>M70/ITA!B68*1000</f>
        <v>103.86006291428322</v>
      </c>
      <c r="R70" s="134"/>
      <c r="S70" s="392">
        <f t="shared" si="15"/>
        <v>0</v>
      </c>
      <c r="T70" s="373">
        <f t="shared" si="16"/>
        <v>64086766.032004803</v>
      </c>
      <c r="U70" s="373">
        <f t="shared" si="17"/>
        <v>548643.13200481981</v>
      </c>
      <c r="V70" s="132">
        <f t="shared" si="18"/>
        <v>0.66861086461777497</v>
      </c>
      <c r="W70" s="181">
        <f t="shared" si="19"/>
        <v>31763854.146955803</v>
      </c>
      <c r="X70" s="134">
        <f>W70/ITA!B68*1000</f>
        <v>103.8600629142832</v>
      </c>
    </row>
    <row r="71" spans="1:24" x14ac:dyDescent="0.25">
      <c r="A71" s="123" t="s">
        <v>68</v>
      </c>
      <c r="B71" s="47">
        <v>22502.1</v>
      </c>
      <c r="C71" s="73">
        <f>ITA!G69</f>
        <v>3.6350583337009343E-2</v>
      </c>
      <c r="D71" s="379">
        <f>'Total Inst. Cost'!G69</f>
        <v>138654029.90113798</v>
      </c>
      <c r="E71" s="547" t="s">
        <v>705</v>
      </c>
      <c r="F71" s="381">
        <f>'District Services'!K78</f>
        <v>4205746.9713399913</v>
      </c>
      <c r="G71" s="404">
        <f t="shared" si="8"/>
        <v>142859776.87247798</v>
      </c>
      <c r="H71" s="124"/>
      <c r="I71" s="379">
        <f>'FY 19 State Pmt (Opt 3)'!BE70</f>
        <v>92746179.339999989</v>
      </c>
      <c r="J71" s="547" t="s">
        <v>705</v>
      </c>
      <c r="K71" s="540">
        <f t="shared" si="9"/>
        <v>92746179.339999989</v>
      </c>
      <c r="L71" s="124"/>
      <c r="M71" s="471">
        <f t="shared" ref="M71:M87" si="20">C71*($G$88*$M$6)</f>
        <v>54206605.809058487</v>
      </c>
      <c r="N71" s="555">
        <f t="shared" ref="N71:N87" si="21">G71-M71</f>
        <v>88653171.063419491</v>
      </c>
      <c r="O71" s="559">
        <f t="shared" ref="O71:O87" si="22">N71-K71</f>
        <v>-4093008.2765804976</v>
      </c>
      <c r="P71" s="442">
        <f t="shared" ref="P71:P88" si="23">N71/G71</f>
        <v>0.62056075547811229</v>
      </c>
      <c r="Q71" s="124">
        <f>M71/ITA!B69*1000</f>
        <v>86.489945271793147</v>
      </c>
      <c r="R71" s="124"/>
      <c r="S71" s="393">
        <f t="shared" ref="S71:S87" si="24">IF(O71&lt;0,K71-N71,0)</f>
        <v>4093008.2765804976</v>
      </c>
      <c r="T71" s="374">
        <f t="shared" ref="T71:T87" si="25">S71+N71</f>
        <v>92746179.339999989</v>
      </c>
      <c r="U71" s="374">
        <f t="shared" ref="U71:U87" si="26">T71-K71</f>
        <v>0</v>
      </c>
      <c r="V71" s="79">
        <f t="shared" ref="V71:V88" si="27">T71/G71</f>
        <v>0.64921128515263415</v>
      </c>
      <c r="W71" s="180">
        <f t="shared" ref="W71:W87" si="28">G71-T71</f>
        <v>50113597.53247799</v>
      </c>
      <c r="X71" s="124">
        <f>W71/ITA!B69*1000</f>
        <v>79.959300960924196</v>
      </c>
    </row>
    <row r="72" spans="1:24" x14ac:dyDescent="0.25">
      <c r="A72" s="125" t="s">
        <v>69</v>
      </c>
      <c r="B72" s="126">
        <v>27586.57</v>
      </c>
      <c r="C72" s="127">
        <f>ITA!G70</f>
        <v>2.027163018982998E-2</v>
      </c>
      <c r="D72" s="382">
        <f>'Total Inst. Cost'!G70</f>
        <v>160070963.90505502</v>
      </c>
      <c r="E72" s="546" t="s">
        <v>705</v>
      </c>
      <c r="F72" s="384">
        <f>'District Services'!K79</f>
        <v>4354236.8594544223</v>
      </c>
      <c r="G72" s="405">
        <f t="shared" ref="G72:G87" si="29">SUM(D72:F72)</f>
        <v>164425200.76450944</v>
      </c>
      <c r="H72" s="134"/>
      <c r="I72" s="382">
        <f>'FY 19 State Pmt (Opt 3)'!BE71</f>
        <v>129954567.12999998</v>
      </c>
      <c r="J72" s="546" t="s">
        <v>705</v>
      </c>
      <c r="K72" s="539">
        <f t="shared" ref="K72:K88" si="30">I72</f>
        <v>129954567.12999998</v>
      </c>
      <c r="L72" s="134"/>
      <c r="M72" s="469">
        <f t="shared" si="20"/>
        <v>30229398.428617597</v>
      </c>
      <c r="N72" s="554">
        <f t="shared" si="21"/>
        <v>134195802.33589184</v>
      </c>
      <c r="O72" s="560">
        <f t="shared" si="22"/>
        <v>4241235.2058918625</v>
      </c>
      <c r="P72" s="441">
        <f t="shared" si="23"/>
        <v>0.81615106268343696</v>
      </c>
      <c r="Q72" s="134">
        <f>M72/ITA!B70*1000</f>
        <v>97.493430869999614</v>
      </c>
      <c r="R72" s="134"/>
      <c r="S72" s="392">
        <f t="shared" si="24"/>
        <v>0</v>
      </c>
      <c r="T72" s="373">
        <f t="shared" si="25"/>
        <v>134195802.33589184</v>
      </c>
      <c r="U72" s="373">
        <f t="shared" si="26"/>
        <v>4241235.2058918625</v>
      </c>
      <c r="V72" s="132">
        <f t="shared" si="27"/>
        <v>0.81615106268343696</v>
      </c>
      <c r="W72" s="181">
        <f t="shared" si="28"/>
        <v>30229398.428617597</v>
      </c>
      <c r="X72" s="134">
        <f>W72/ITA!B70*1000</f>
        <v>97.493430869999614</v>
      </c>
    </row>
    <row r="73" spans="1:24" x14ac:dyDescent="0.25">
      <c r="A73" s="123" t="s">
        <v>70</v>
      </c>
      <c r="B73" s="47">
        <v>2197.3200000000002</v>
      </c>
      <c r="C73" s="73">
        <f>ITA!G71</f>
        <v>2.1170187183009951E-3</v>
      </c>
      <c r="D73" s="379">
        <f>'Total Inst. Cost'!G71</f>
        <v>14115630.830331624</v>
      </c>
      <c r="E73" s="547" t="s">
        <v>705</v>
      </c>
      <c r="F73" s="381">
        <f>'District Services'!K80</f>
        <v>1210825.467771299</v>
      </c>
      <c r="G73" s="406">
        <f t="shared" si="29"/>
        <v>15326456.298102923</v>
      </c>
      <c r="H73" s="124"/>
      <c r="I73" s="379">
        <f>'FY 19 State Pmt (Opt 3)'!BE72</f>
        <v>11049396.23</v>
      </c>
      <c r="J73" s="547" t="s">
        <v>705</v>
      </c>
      <c r="K73" s="540">
        <f t="shared" si="30"/>
        <v>11049396.23</v>
      </c>
      <c r="L73" s="124"/>
      <c r="M73" s="471">
        <f t="shared" si="20"/>
        <v>3156934.1842309367</v>
      </c>
      <c r="N73" s="555">
        <f t="shared" si="21"/>
        <v>12169522.113871986</v>
      </c>
      <c r="O73" s="559">
        <f t="shared" si="22"/>
        <v>1120125.8838719856</v>
      </c>
      <c r="P73" s="442">
        <f t="shared" si="23"/>
        <v>0.79402060575335376</v>
      </c>
      <c r="Q73" s="124">
        <f>M73/ITA!B71*1000</f>
        <v>96.966780375337038</v>
      </c>
      <c r="R73" s="124"/>
      <c r="S73" s="393">
        <f t="shared" si="24"/>
        <v>0</v>
      </c>
      <c r="T73" s="374">
        <f t="shared" si="25"/>
        <v>12169522.113871986</v>
      </c>
      <c r="U73" s="374">
        <f t="shared" si="26"/>
        <v>1120125.8838719856</v>
      </c>
      <c r="V73" s="79">
        <f t="shared" si="27"/>
        <v>0.79402060575335376</v>
      </c>
      <c r="W73" s="180">
        <f t="shared" si="28"/>
        <v>3156934.1842309367</v>
      </c>
      <c r="X73" s="124">
        <f>W73/ITA!B71*1000</f>
        <v>96.966780375337038</v>
      </c>
    </row>
    <row r="74" spans="1:24" x14ac:dyDescent="0.25">
      <c r="A74" s="125" t="s">
        <v>71</v>
      </c>
      <c r="B74" s="126">
        <v>4904.8</v>
      </c>
      <c r="C74" s="127">
        <f>ITA!G72</f>
        <v>4.6441365784539125E-3</v>
      </c>
      <c r="D74" s="382">
        <f>'Total Inst. Cost'!G72</f>
        <v>28507579.743300911</v>
      </c>
      <c r="E74" s="546" t="s">
        <v>705</v>
      </c>
      <c r="F74" s="384">
        <f>'District Services'!K81</f>
        <v>1311653.6540530578</v>
      </c>
      <c r="G74" s="405">
        <f t="shared" si="29"/>
        <v>29819233.39735397</v>
      </c>
      <c r="H74" s="134"/>
      <c r="I74" s="382">
        <f>'FY 19 State Pmt (Opt 3)'!BE73</f>
        <v>22397427.359999999</v>
      </c>
      <c r="J74" s="546" t="s">
        <v>705</v>
      </c>
      <c r="K74" s="539">
        <f t="shared" si="30"/>
        <v>22397427.359999999</v>
      </c>
      <c r="L74" s="134"/>
      <c r="M74" s="469">
        <f t="shared" si="20"/>
        <v>6925415.1576537648</v>
      </c>
      <c r="N74" s="554">
        <f t="shared" si="21"/>
        <v>22893818.239700206</v>
      </c>
      <c r="O74" s="560">
        <f t="shared" si="22"/>
        <v>496390.87970020622</v>
      </c>
      <c r="P74" s="441">
        <f t="shared" si="23"/>
        <v>0.76775341386649143</v>
      </c>
      <c r="Q74" s="134">
        <f>M74/ITA!B72*1000</f>
        <v>128.55099026504612</v>
      </c>
      <c r="R74" s="134"/>
      <c r="S74" s="392">
        <f t="shared" si="24"/>
        <v>0</v>
      </c>
      <c r="T74" s="373">
        <f t="shared" si="25"/>
        <v>22893818.239700206</v>
      </c>
      <c r="U74" s="373">
        <f t="shared" si="26"/>
        <v>496390.87970020622</v>
      </c>
      <c r="V74" s="132">
        <f t="shared" si="27"/>
        <v>0.76775341386649143</v>
      </c>
      <c r="W74" s="181">
        <f t="shared" si="28"/>
        <v>6925415.1576537639</v>
      </c>
      <c r="X74" s="134">
        <f>W74/ITA!B72*1000</f>
        <v>128.55099026504612</v>
      </c>
    </row>
    <row r="75" spans="1:24" x14ac:dyDescent="0.25">
      <c r="A75" s="123" t="s">
        <v>72</v>
      </c>
      <c r="B75" s="47">
        <v>9921.15</v>
      </c>
      <c r="C75" s="73">
        <f>ITA!G73</f>
        <v>9.1768798354154614E-3</v>
      </c>
      <c r="D75" s="379">
        <f>'Total Inst. Cost'!G73</f>
        <v>58162454.87617638</v>
      </c>
      <c r="E75" s="547" t="s">
        <v>705</v>
      </c>
      <c r="F75" s="381">
        <f>'District Services'!K82</f>
        <v>2579291.9625073913</v>
      </c>
      <c r="G75" s="404">
        <f t="shared" si="29"/>
        <v>60741746.838683769</v>
      </c>
      <c r="H75" s="124"/>
      <c r="I75" s="379">
        <f>'FY 19 State Pmt (Opt 3)'!BE74</f>
        <v>44338557.419999994</v>
      </c>
      <c r="J75" s="547" t="s">
        <v>705</v>
      </c>
      <c r="K75" s="540">
        <f t="shared" si="30"/>
        <v>44338557.419999994</v>
      </c>
      <c r="L75" s="124"/>
      <c r="M75" s="471">
        <f t="shared" si="20"/>
        <v>13684718.706810985</v>
      </c>
      <c r="N75" s="555">
        <f t="shared" si="21"/>
        <v>47057028.131872788</v>
      </c>
      <c r="O75" s="559">
        <f t="shared" si="22"/>
        <v>2718470.7118727937</v>
      </c>
      <c r="P75" s="442">
        <f t="shared" si="23"/>
        <v>0.77470653349574425</v>
      </c>
      <c r="Q75" s="124">
        <f>M75/ITA!B73*1000</f>
        <v>117.04115508875626</v>
      </c>
      <c r="R75" s="124"/>
      <c r="S75" s="393">
        <f t="shared" si="24"/>
        <v>0</v>
      </c>
      <c r="T75" s="374">
        <f t="shared" si="25"/>
        <v>47057028.131872788</v>
      </c>
      <c r="U75" s="374">
        <f t="shared" si="26"/>
        <v>2718470.7118727937</v>
      </c>
      <c r="V75" s="79">
        <f t="shared" si="27"/>
        <v>0.77470653349574425</v>
      </c>
      <c r="W75" s="180">
        <f t="shared" si="28"/>
        <v>13684718.706810981</v>
      </c>
      <c r="X75" s="124">
        <f>W75/ITA!B73*1000</f>
        <v>117.04115508875623</v>
      </c>
    </row>
    <row r="76" spans="1:24" x14ac:dyDescent="0.25">
      <c r="A76" s="125" t="s">
        <v>73</v>
      </c>
      <c r="B76" s="126">
        <v>2737.16</v>
      </c>
      <c r="C76" s="127">
        <f>ITA!G74</f>
        <v>2.9084662115097578E-3</v>
      </c>
      <c r="D76" s="382">
        <f>'Total Inst. Cost'!G74</f>
        <v>16916675.618235309</v>
      </c>
      <c r="E76" s="546" t="s">
        <v>705</v>
      </c>
      <c r="F76" s="384">
        <f>'District Services'!K83</f>
        <v>1232000.521468305</v>
      </c>
      <c r="G76" s="405">
        <f t="shared" si="29"/>
        <v>18148676.139703613</v>
      </c>
      <c r="H76" s="134"/>
      <c r="I76" s="382">
        <f>'FY 19 State Pmt (Opt 3)'!BE75</f>
        <v>13020218.610000003</v>
      </c>
      <c r="J76" s="546" t="s">
        <v>705</v>
      </c>
      <c r="K76" s="539">
        <f t="shared" si="30"/>
        <v>13020218.610000003</v>
      </c>
      <c r="L76" s="134"/>
      <c r="M76" s="469">
        <f t="shared" si="20"/>
        <v>4337154.0966650723</v>
      </c>
      <c r="N76" s="554">
        <f t="shared" si="21"/>
        <v>13811522.04303854</v>
      </c>
      <c r="O76" s="560">
        <f t="shared" si="22"/>
        <v>791303.43303853646</v>
      </c>
      <c r="P76" s="441">
        <f t="shared" si="23"/>
        <v>0.76102091065602628</v>
      </c>
      <c r="Q76" s="134">
        <f>M76/ITA!B74*1000</f>
        <v>87.749594350386801</v>
      </c>
      <c r="R76" s="134"/>
      <c r="S76" s="392">
        <f t="shared" si="24"/>
        <v>0</v>
      </c>
      <c r="T76" s="373">
        <f t="shared" si="25"/>
        <v>13811522.04303854</v>
      </c>
      <c r="U76" s="373">
        <f t="shared" si="26"/>
        <v>791303.43303853646</v>
      </c>
      <c r="V76" s="132">
        <f t="shared" si="27"/>
        <v>0.76102091065602628</v>
      </c>
      <c r="W76" s="181">
        <f t="shared" si="28"/>
        <v>4337154.0966650732</v>
      </c>
      <c r="X76" s="134">
        <f>W76/ITA!B74*1000</f>
        <v>87.749594350386815</v>
      </c>
    </row>
    <row r="77" spans="1:24" x14ac:dyDescent="0.25">
      <c r="A77" s="123" t="s">
        <v>74</v>
      </c>
      <c r="B77" s="47">
        <v>2669.43</v>
      </c>
      <c r="C77" s="73">
        <f>ITA!G75</f>
        <v>2.2253279824180397E-3</v>
      </c>
      <c r="D77" s="379">
        <f>'Total Inst. Cost'!G75</f>
        <v>16197562.658636674</v>
      </c>
      <c r="E77" s="547" t="s">
        <v>705</v>
      </c>
      <c r="F77" s="381">
        <f>'District Services'!K84</f>
        <v>1226902.3142279794</v>
      </c>
      <c r="G77" s="406">
        <f t="shared" si="29"/>
        <v>17424464.972864654</v>
      </c>
      <c r="H77" s="124"/>
      <c r="I77" s="379">
        <f>'FY 19 State Pmt (Opt 3)'!BE76</f>
        <v>12635724.58</v>
      </c>
      <c r="J77" s="547" t="s">
        <v>705</v>
      </c>
      <c r="K77" s="540">
        <f t="shared" si="30"/>
        <v>12635724.58</v>
      </c>
      <c r="L77" s="124"/>
      <c r="M77" s="471">
        <f t="shared" si="20"/>
        <v>3318446.7941120653</v>
      </c>
      <c r="N77" s="555">
        <f t="shared" si="21"/>
        <v>14106018.178752588</v>
      </c>
      <c r="O77" s="559">
        <f t="shared" si="22"/>
        <v>1470293.598752588</v>
      </c>
      <c r="P77" s="442">
        <f t="shared" si="23"/>
        <v>0.80955244254099479</v>
      </c>
      <c r="Q77" s="124">
        <f>M77/ITA!B75*1000</f>
        <v>102.59682791900509</v>
      </c>
      <c r="R77" s="124"/>
      <c r="S77" s="393">
        <f t="shared" si="24"/>
        <v>0</v>
      </c>
      <c r="T77" s="374">
        <f t="shared" si="25"/>
        <v>14106018.178752588</v>
      </c>
      <c r="U77" s="374">
        <f t="shared" si="26"/>
        <v>1470293.598752588</v>
      </c>
      <c r="V77" s="79">
        <f t="shared" si="27"/>
        <v>0.80955244254099479</v>
      </c>
      <c r="W77" s="180">
        <f t="shared" si="28"/>
        <v>3318446.7941120658</v>
      </c>
      <c r="X77" s="124">
        <f>W77/ITA!B75*1000</f>
        <v>102.59682791900511</v>
      </c>
    </row>
    <row r="78" spans="1:24" x14ac:dyDescent="0.25">
      <c r="A78" s="125" t="s">
        <v>75</v>
      </c>
      <c r="B78" s="126">
        <v>8533.4500000000007</v>
      </c>
      <c r="C78" s="127">
        <f>ITA!G76</f>
        <v>1.2017698379358689E-2</v>
      </c>
      <c r="D78" s="382">
        <f>'Total Inst. Cost'!G76</f>
        <v>49667500.700819165</v>
      </c>
      <c r="E78" s="546" t="s">
        <v>705</v>
      </c>
      <c r="F78" s="384">
        <f>'District Services'!K85</f>
        <v>2219280.518940018</v>
      </c>
      <c r="G78" s="405">
        <f t="shared" si="29"/>
        <v>51886781.219759181</v>
      </c>
      <c r="H78" s="134"/>
      <c r="I78" s="382">
        <f>'FY 19 State Pmt (Opt 3)'!BE77</f>
        <v>33387162.690000005</v>
      </c>
      <c r="J78" s="546" t="s">
        <v>705</v>
      </c>
      <c r="K78" s="539">
        <f t="shared" si="30"/>
        <v>33387162.690000005</v>
      </c>
      <c r="L78" s="134"/>
      <c r="M78" s="469">
        <f t="shared" si="20"/>
        <v>17920995.455355272</v>
      </c>
      <c r="N78" s="554">
        <f t="shared" si="21"/>
        <v>33965785.764403909</v>
      </c>
      <c r="O78" s="560">
        <f t="shared" si="22"/>
        <v>578623.07440390438</v>
      </c>
      <c r="P78" s="441">
        <f t="shared" si="23"/>
        <v>0.65461346735976145</v>
      </c>
      <c r="Q78" s="134">
        <f>M78/ITA!B76*1000</f>
        <v>85.192635164252735</v>
      </c>
      <c r="R78" s="134"/>
      <c r="S78" s="392">
        <f t="shared" si="24"/>
        <v>0</v>
      </c>
      <c r="T78" s="373">
        <f t="shared" si="25"/>
        <v>33965785.764403909</v>
      </c>
      <c r="U78" s="373">
        <f t="shared" si="26"/>
        <v>578623.07440390438</v>
      </c>
      <c r="V78" s="132">
        <f t="shared" si="27"/>
        <v>0.65461346735976145</v>
      </c>
      <c r="W78" s="181">
        <f t="shared" si="28"/>
        <v>17920995.455355272</v>
      </c>
      <c r="X78" s="134">
        <f>W78/ITA!B76*1000</f>
        <v>85.192635164252735</v>
      </c>
    </row>
    <row r="79" spans="1:24" x14ac:dyDescent="0.25">
      <c r="A79" s="123" t="s">
        <v>76</v>
      </c>
      <c r="B79" s="47">
        <v>10966.62</v>
      </c>
      <c r="C79" s="73">
        <f>ITA!G77</f>
        <v>1.213656667966234E-2</v>
      </c>
      <c r="D79" s="379">
        <f>'Total Inst. Cost'!G77</f>
        <v>67189240.106866941</v>
      </c>
      <c r="E79" s="547" t="s">
        <v>705</v>
      </c>
      <c r="F79" s="381">
        <f>'District Services'!K86</f>
        <v>3092165.6986981137</v>
      </c>
      <c r="G79" s="404">
        <f t="shared" si="29"/>
        <v>70281405.805565059</v>
      </c>
      <c r="H79" s="124"/>
      <c r="I79" s="379">
        <f>'FY 19 State Pmt (Opt 3)'!BE78</f>
        <v>49799316.590000011</v>
      </c>
      <c r="J79" s="547" t="s">
        <v>705</v>
      </c>
      <c r="K79" s="540">
        <f t="shared" si="30"/>
        <v>49799316.590000011</v>
      </c>
      <c r="L79" s="124"/>
      <c r="M79" s="471">
        <f t="shared" si="20"/>
        <v>18098253.878913842</v>
      </c>
      <c r="N79" s="555">
        <f t="shared" si="21"/>
        <v>52183151.926651217</v>
      </c>
      <c r="O79" s="559">
        <f t="shared" si="22"/>
        <v>2383835.336651206</v>
      </c>
      <c r="P79" s="442">
        <f t="shared" si="23"/>
        <v>0.74248873266731419</v>
      </c>
      <c r="Q79" s="124">
        <f>M79/ITA!B77*1000</f>
        <v>95.790133393240453</v>
      </c>
      <c r="R79" s="124"/>
      <c r="S79" s="393">
        <f t="shared" si="24"/>
        <v>0</v>
      </c>
      <c r="T79" s="374">
        <f t="shared" si="25"/>
        <v>52183151.926651217</v>
      </c>
      <c r="U79" s="374">
        <f t="shared" si="26"/>
        <v>2383835.336651206</v>
      </c>
      <c r="V79" s="79">
        <f t="shared" si="27"/>
        <v>0.74248873266731419</v>
      </c>
      <c r="W79" s="180">
        <f t="shared" si="28"/>
        <v>18098253.878913842</v>
      </c>
      <c r="X79" s="124">
        <f>W79/ITA!B77*1000</f>
        <v>95.790133393240453</v>
      </c>
    </row>
    <row r="80" spans="1:24" x14ac:dyDescent="0.25">
      <c r="A80" s="125" t="s">
        <v>77</v>
      </c>
      <c r="B80" s="126">
        <v>7107.44</v>
      </c>
      <c r="C80" s="127">
        <f>ITA!G78</f>
        <v>9.9871545920308148E-3</v>
      </c>
      <c r="D80" s="382">
        <f>'Total Inst. Cost'!G78</f>
        <v>42364955.552934125</v>
      </c>
      <c r="E80" s="546" t="s">
        <v>705</v>
      </c>
      <c r="F80" s="384">
        <f>'District Services'!K87</f>
        <v>1715095.1184004669</v>
      </c>
      <c r="G80" s="405">
        <f t="shared" si="29"/>
        <v>44080050.671334594</v>
      </c>
      <c r="H80" s="134"/>
      <c r="I80" s="382">
        <f>'FY 19 State Pmt (Opt 3)'!BE79</f>
        <v>30013779.119999997</v>
      </c>
      <c r="J80" s="546" t="s">
        <v>705</v>
      </c>
      <c r="K80" s="539">
        <f t="shared" si="30"/>
        <v>30013779.119999997</v>
      </c>
      <c r="L80" s="134"/>
      <c r="M80" s="469">
        <f t="shared" si="20"/>
        <v>14893014.153452719</v>
      </c>
      <c r="N80" s="554">
        <f t="shared" si="21"/>
        <v>29187036.517881878</v>
      </c>
      <c r="O80" s="560">
        <f t="shared" si="22"/>
        <v>-826742.6021181196</v>
      </c>
      <c r="P80" s="441">
        <f t="shared" si="23"/>
        <v>0.66213709089182848</v>
      </c>
      <c r="Q80" s="134">
        <f>M80/ITA!B78*1000</f>
        <v>95.937002884579485</v>
      </c>
      <c r="R80" s="134"/>
      <c r="S80" s="392">
        <f t="shared" si="24"/>
        <v>826742.6021181196</v>
      </c>
      <c r="T80" s="373">
        <f t="shared" si="25"/>
        <v>30013779.119999997</v>
      </c>
      <c r="U80" s="373">
        <f t="shared" si="26"/>
        <v>0</v>
      </c>
      <c r="V80" s="132">
        <f t="shared" si="27"/>
        <v>0.68089257300963268</v>
      </c>
      <c r="W80" s="181">
        <f t="shared" si="28"/>
        <v>14066271.551334597</v>
      </c>
      <c r="X80" s="134">
        <f>W80/ITA!B78*1000</f>
        <v>90.611337670877745</v>
      </c>
    </row>
    <row r="81" spans="1:24" x14ac:dyDescent="0.25">
      <c r="A81" s="123" t="s">
        <v>78</v>
      </c>
      <c r="B81" s="47">
        <v>15888.61</v>
      </c>
      <c r="C81" s="73">
        <f>ITA!G79</f>
        <v>1.3561698939704043E-2</v>
      </c>
      <c r="D81" s="379">
        <f>'Total Inst. Cost'!G79</f>
        <v>98307537.191798344</v>
      </c>
      <c r="E81" s="547" t="s">
        <v>705</v>
      </c>
      <c r="F81" s="381">
        <f>'District Services'!K88</f>
        <v>3919477.323274327</v>
      </c>
      <c r="G81" s="406">
        <f t="shared" si="29"/>
        <v>102227014.51507267</v>
      </c>
      <c r="H81" s="124"/>
      <c r="I81" s="379">
        <f>'FY 19 State Pmt (Opt 3)'!BE80</f>
        <v>76395872.120000035</v>
      </c>
      <c r="J81" s="547" t="s">
        <v>705</v>
      </c>
      <c r="K81" s="540">
        <f t="shared" si="30"/>
        <v>76395872.120000035</v>
      </c>
      <c r="L81" s="124"/>
      <c r="M81" s="471">
        <f t="shared" si="20"/>
        <v>20223435.253024053</v>
      </c>
      <c r="N81" s="555">
        <f t="shared" si="21"/>
        <v>82003579.262048617</v>
      </c>
      <c r="O81" s="559">
        <f t="shared" si="22"/>
        <v>5607707.1420485824</v>
      </c>
      <c r="P81" s="442">
        <f t="shared" si="23"/>
        <v>0.80217132086898368</v>
      </c>
      <c r="Q81" s="124">
        <f>M81/ITA!B79*1000</f>
        <v>101.53763854947171</v>
      </c>
      <c r="R81" s="124"/>
      <c r="S81" s="393">
        <f t="shared" si="24"/>
        <v>0</v>
      </c>
      <c r="T81" s="374">
        <f t="shared" si="25"/>
        <v>82003579.262048617</v>
      </c>
      <c r="U81" s="374">
        <f t="shared" si="26"/>
        <v>5607707.1420485824</v>
      </c>
      <c r="V81" s="79">
        <f t="shared" si="27"/>
        <v>0.80217132086898368</v>
      </c>
      <c r="W81" s="180">
        <f t="shared" si="28"/>
        <v>20223435.253024057</v>
      </c>
      <c r="X81" s="124">
        <f>W81/ITA!B79*1000</f>
        <v>101.53763854947172</v>
      </c>
    </row>
    <row r="82" spans="1:24" x14ac:dyDescent="0.25">
      <c r="A82" s="125" t="s">
        <v>79</v>
      </c>
      <c r="B82" s="126">
        <v>3787.02</v>
      </c>
      <c r="C82" s="127">
        <f>ITA!G80</f>
        <v>3.622686525319089E-3</v>
      </c>
      <c r="D82" s="382">
        <f>'Total Inst. Cost'!G80</f>
        <v>23611644.233587757</v>
      </c>
      <c r="E82" s="546" t="s">
        <v>705</v>
      </c>
      <c r="F82" s="384">
        <f>'District Services'!K89</f>
        <v>1279669.8103043248</v>
      </c>
      <c r="G82" s="405">
        <f t="shared" si="29"/>
        <v>24891314.043892082</v>
      </c>
      <c r="H82" s="134"/>
      <c r="I82" s="382">
        <f>'FY 19 State Pmt (Opt 3)'!BE81</f>
        <v>18113629.719999999</v>
      </c>
      <c r="J82" s="546" t="s">
        <v>705</v>
      </c>
      <c r="K82" s="539">
        <f t="shared" si="30"/>
        <v>18113629.719999999</v>
      </c>
      <c r="L82" s="134"/>
      <c r="M82" s="469">
        <f t="shared" si="20"/>
        <v>5402211.5306146229</v>
      </c>
      <c r="N82" s="554">
        <f t="shared" si="21"/>
        <v>19489102.51327746</v>
      </c>
      <c r="O82" s="560">
        <f t="shared" si="22"/>
        <v>1375472.7932774611</v>
      </c>
      <c r="P82" s="441">
        <f t="shared" si="23"/>
        <v>0.78296800558264479</v>
      </c>
      <c r="Q82" s="134">
        <f>M82/ITA!B80*1000</f>
        <v>101.95522401951814</v>
      </c>
      <c r="R82" s="134"/>
      <c r="S82" s="392">
        <f t="shared" si="24"/>
        <v>0</v>
      </c>
      <c r="T82" s="373">
        <f t="shared" si="25"/>
        <v>19489102.51327746</v>
      </c>
      <c r="U82" s="373">
        <f t="shared" si="26"/>
        <v>1375472.7932774611</v>
      </c>
      <c r="V82" s="132">
        <f t="shared" si="27"/>
        <v>0.78296800558264479</v>
      </c>
      <c r="W82" s="181">
        <f t="shared" si="28"/>
        <v>5402211.5306146219</v>
      </c>
      <c r="X82" s="134">
        <f>W82/ITA!B80*1000</f>
        <v>101.95522401951814</v>
      </c>
    </row>
    <row r="83" spans="1:24" x14ac:dyDescent="0.25">
      <c r="A83" s="123" t="s">
        <v>80</v>
      </c>
      <c r="B83" s="47">
        <v>3426.1</v>
      </c>
      <c r="C83" s="73">
        <f>ITA!G81</f>
        <v>4.5190387571141773E-3</v>
      </c>
      <c r="D83" s="379">
        <f>'Total Inst. Cost'!G81</f>
        <v>22116081.577916391</v>
      </c>
      <c r="E83" s="547" t="s">
        <v>705</v>
      </c>
      <c r="F83" s="381">
        <f>'District Services'!K90</f>
        <v>1270923.1127461456</v>
      </c>
      <c r="G83" s="404">
        <f t="shared" si="29"/>
        <v>23387004.690662537</v>
      </c>
      <c r="H83" s="124"/>
      <c r="I83" s="379">
        <f>'FY 19 State Pmt (Opt 3)'!BE82</f>
        <v>15934303.919999994</v>
      </c>
      <c r="J83" s="547" t="s">
        <v>705</v>
      </c>
      <c r="K83" s="540">
        <f t="shared" si="30"/>
        <v>15934303.919999994</v>
      </c>
      <c r="L83" s="124"/>
      <c r="M83" s="471">
        <f t="shared" si="20"/>
        <v>6738867.1667710152</v>
      </c>
      <c r="N83" s="555">
        <f t="shared" si="21"/>
        <v>16648137.523891522</v>
      </c>
      <c r="O83" s="559">
        <f t="shared" si="22"/>
        <v>713833.60389152728</v>
      </c>
      <c r="P83" s="442">
        <f t="shared" si="23"/>
        <v>0.71185420040294578</v>
      </c>
      <c r="Q83" s="124">
        <f>M83/ITA!B81*1000</f>
        <v>88.845535791277456</v>
      </c>
      <c r="R83" s="124"/>
      <c r="S83" s="393">
        <f t="shared" si="24"/>
        <v>0</v>
      </c>
      <c r="T83" s="374">
        <f t="shared" si="25"/>
        <v>16648137.523891522</v>
      </c>
      <c r="U83" s="374">
        <f t="shared" si="26"/>
        <v>713833.60389152728</v>
      </c>
      <c r="V83" s="79">
        <f t="shared" si="27"/>
        <v>0.71185420040294578</v>
      </c>
      <c r="W83" s="180">
        <f t="shared" si="28"/>
        <v>6738867.1667710152</v>
      </c>
      <c r="X83" s="124">
        <f>W83/ITA!B81*1000</f>
        <v>88.845535791277456</v>
      </c>
    </row>
    <row r="84" spans="1:24" x14ac:dyDescent="0.25">
      <c r="A84" s="125" t="s">
        <v>81</v>
      </c>
      <c r="B84" s="126">
        <v>4956.4399999999996</v>
      </c>
      <c r="C84" s="127">
        <f>ITA!G82</f>
        <v>4.0933127441609264E-3</v>
      </c>
      <c r="D84" s="382">
        <f>'Total Inst. Cost'!G82</f>
        <v>30816540.640512552</v>
      </c>
      <c r="E84" s="546" t="s">
        <v>705</v>
      </c>
      <c r="F84" s="384">
        <f>'District Services'!K91</f>
        <v>1331076.6062947845</v>
      </c>
      <c r="G84" s="405">
        <f t="shared" si="29"/>
        <v>32147617.246807337</v>
      </c>
      <c r="H84" s="134"/>
      <c r="I84" s="382">
        <f>'FY 19 State Pmt (Opt 3)'!BE83</f>
        <v>24902570.380000003</v>
      </c>
      <c r="J84" s="546" t="s">
        <v>705</v>
      </c>
      <c r="K84" s="539">
        <f t="shared" si="30"/>
        <v>24902570.380000003</v>
      </c>
      <c r="L84" s="134"/>
      <c r="M84" s="469">
        <f t="shared" si="20"/>
        <v>6104017.3226056909</v>
      </c>
      <c r="N84" s="554">
        <f t="shared" si="21"/>
        <v>26043599.924201645</v>
      </c>
      <c r="O84" s="560">
        <f t="shared" si="22"/>
        <v>1141029.5442016423</v>
      </c>
      <c r="P84" s="441">
        <f t="shared" si="23"/>
        <v>0.81012535779111594</v>
      </c>
      <c r="Q84" s="134">
        <f>M84/ITA!B82*1000</f>
        <v>97.990497719611412</v>
      </c>
      <c r="R84" s="134"/>
      <c r="S84" s="392">
        <f t="shared" si="24"/>
        <v>0</v>
      </c>
      <c r="T84" s="373">
        <f t="shared" si="25"/>
        <v>26043599.924201645</v>
      </c>
      <c r="U84" s="373">
        <f t="shared" si="26"/>
        <v>1141029.5442016423</v>
      </c>
      <c r="V84" s="132">
        <f t="shared" si="27"/>
        <v>0.81012535779111594</v>
      </c>
      <c r="W84" s="181">
        <f t="shared" si="28"/>
        <v>6104017.3226056919</v>
      </c>
      <c r="X84" s="134">
        <f>W84/ITA!B82*1000</f>
        <v>97.990497719611426</v>
      </c>
    </row>
    <row r="85" spans="1:24" x14ac:dyDescent="0.25">
      <c r="A85" s="123" t="s">
        <v>82</v>
      </c>
      <c r="B85" s="47">
        <v>7694.47</v>
      </c>
      <c r="C85" s="73">
        <f>ITA!G83</f>
        <v>1.2818443475715712E-2</v>
      </c>
      <c r="D85" s="379">
        <f>'Total Inst. Cost'!G83</f>
        <v>41519939.675881289</v>
      </c>
      <c r="E85" s="547" t="s">
        <v>705</v>
      </c>
      <c r="F85" s="381">
        <f>'District Services'!K92</f>
        <v>1705005.1236990951</v>
      </c>
      <c r="G85" s="406">
        <f t="shared" si="29"/>
        <v>43224944.79958038</v>
      </c>
      <c r="H85" s="124"/>
      <c r="I85" s="379">
        <f>'FY 19 State Pmt (Opt 3)'!BE84</f>
        <v>26072805.409999996</v>
      </c>
      <c r="J85" s="547" t="s">
        <v>705</v>
      </c>
      <c r="K85" s="540">
        <f t="shared" si="30"/>
        <v>26072805.409999996</v>
      </c>
      <c r="L85" s="124"/>
      <c r="M85" s="471">
        <f t="shared" si="20"/>
        <v>19115080.11114591</v>
      </c>
      <c r="N85" s="555">
        <f t="shared" si="21"/>
        <v>24109864.68843447</v>
      </c>
      <c r="O85" s="559">
        <f t="shared" si="22"/>
        <v>-1962940.721565526</v>
      </c>
      <c r="P85" s="442">
        <f t="shared" si="23"/>
        <v>0.55777664494943491</v>
      </c>
      <c r="Q85" s="124">
        <f>M85/ITA!B83*1000</f>
        <v>80.616114353337295</v>
      </c>
      <c r="R85" s="124"/>
      <c r="S85" s="393">
        <f t="shared" si="24"/>
        <v>1962940.721565526</v>
      </c>
      <c r="T85" s="374">
        <f t="shared" si="25"/>
        <v>26072805.409999996</v>
      </c>
      <c r="U85" s="374">
        <f t="shared" si="26"/>
        <v>0</v>
      </c>
      <c r="V85" s="79">
        <f t="shared" si="27"/>
        <v>0.60318886538527416</v>
      </c>
      <c r="W85" s="180">
        <f t="shared" si="28"/>
        <v>17152139.389580384</v>
      </c>
      <c r="X85" s="124">
        <f>W85/ITA!B83*1000</f>
        <v>72.337590132752041</v>
      </c>
    </row>
    <row r="86" spans="1:24" x14ac:dyDescent="0.25">
      <c r="A86" s="125" t="s">
        <v>83</v>
      </c>
      <c r="B86" s="126">
        <v>17132.009999999998</v>
      </c>
      <c r="C86" s="127">
        <f>ITA!G84</f>
        <v>2.0210547873968254E-2</v>
      </c>
      <c r="D86" s="382">
        <f>'Total Inst. Cost'!G84</f>
        <v>102172395.46003979</v>
      </c>
      <c r="E86" s="546" t="s">
        <v>705</v>
      </c>
      <c r="F86" s="384">
        <f>'District Services'!K93</f>
        <v>3948496.2011807049</v>
      </c>
      <c r="G86" s="405">
        <f t="shared" si="29"/>
        <v>106120891.66122051</v>
      </c>
      <c r="H86" s="134"/>
      <c r="I86" s="382">
        <f>'FY 19 State Pmt (Opt 3)'!BE85</f>
        <v>73988873.860000014</v>
      </c>
      <c r="J86" s="546" t="s">
        <v>705</v>
      </c>
      <c r="K86" s="539">
        <f t="shared" si="30"/>
        <v>73988873.860000014</v>
      </c>
      <c r="L86" s="134"/>
      <c r="M86" s="469">
        <f t="shared" si="20"/>
        <v>30138311.444204614</v>
      </c>
      <c r="N86" s="554">
        <f t="shared" si="21"/>
        <v>75982580.217015892</v>
      </c>
      <c r="O86" s="560">
        <f t="shared" si="22"/>
        <v>1993706.357015878</v>
      </c>
      <c r="P86" s="441">
        <f t="shared" si="23"/>
        <v>0.71600020530907416</v>
      </c>
      <c r="Q86" s="134">
        <f>M86/ITA!B84*1000</f>
        <v>96.183861725624467</v>
      </c>
      <c r="R86" s="134"/>
      <c r="S86" s="392">
        <f t="shared" si="24"/>
        <v>0</v>
      </c>
      <c r="T86" s="373">
        <f t="shared" si="25"/>
        <v>75982580.217015892</v>
      </c>
      <c r="U86" s="373">
        <f t="shared" si="26"/>
        <v>1993706.357015878</v>
      </c>
      <c r="V86" s="132">
        <f t="shared" si="27"/>
        <v>0.71600020530907416</v>
      </c>
      <c r="W86" s="181">
        <f t="shared" si="28"/>
        <v>30138311.444204614</v>
      </c>
      <c r="X86" s="134">
        <f>W86/ITA!B84*1000</f>
        <v>96.183861725624467</v>
      </c>
    </row>
    <row r="87" spans="1:24" ht="15.75" thickBot="1" x14ac:dyDescent="0.3">
      <c r="A87" s="140" t="s">
        <v>84</v>
      </c>
      <c r="B87" s="141">
        <v>15937.31</v>
      </c>
      <c r="C87" s="142">
        <f>ITA!G85</f>
        <v>1.2436121027217847E-2</v>
      </c>
      <c r="D87" s="385">
        <f>'Total Inst. Cost'!G85</f>
        <v>83932324.89221172</v>
      </c>
      <c r="E87" s="548" t="s">
        <v>705</v>
      </c>
      <c r="F87" s="387">
        <f>'District Services'!K94</f>
        <v>3803344.2600772432</v>
      </c>
      <c r="G87" s="408">
        <f t="shared" si="29"/>
        <v>87735669.152288958</v>
      </c>
      <c r="H87" s="148"/>
      <c r="I87" s="385">
        <f>'FY 19 State Pmt (Opt 3)'!BE86</f>
        <v>66605891.030000031</v>
      </c>
      <c r="J87" s="548" t="s">
        <v>705</v>
      </c>
      <c r="K87" s="541">
        <f t="shared" si="30"/>
        <v>66605891.030000031</v>
      </c>
      <c r="L87" s="148"/>
      <c r="M87" s="473">
        <f t="shared" si="20"/>
        <v>18544954.39774153</v>
      </c>
      <c r="N87" s="556">
        <f t="shared" si="21"/>
        <v>69190714.754547432</v>
      </c>
      <c r="O87" s="561">
        <f t="shared" si="22"/>
        <v>2584823.7245474011</v>
      </c>
      <c r="P87" s="443">
        <f t="shared" si="23"/>
        <v>0.78862696806299215</v>
      </c>
      <c r="Q87" s="148">
        <f>M87/ITA!B85*1000</f>
        <v>95.25683928062459</v>
      </c>
      <c r="R87" s="148"/>
      <c r="S87" s="394">
        <f t="shared" si="24"/>
        <v>0</v>
      </c>
      <c r="T87" s="375">
        <f t="shared" si="25"/>
        <v>69190714.754547432</v>
      </c>
      <c r="U87" s="375">
        <f t="shared" si="26"/>
        <v>2584823.7245474011</v>
      </c>
      <c r="V87" s="147">
        <f t="shared" si="27"/>
        <v>0.78862696806299215</v>
      </c>
      <c r="W87" s="182">
        <f t="shared" si="28"/>
        <v>18544954.397741526</v>
      </c>
      <c r="X87" s="148">
        <f>W87/ITA!B85*1000</f>
        <v>95.256839280624575</v>
      </c>
    </row>
    <row r="88" spans="1:24" s="3" customFormat="1" ht="15.75" thickBot="1" x14ac:dyDescent="0.3">
      <c r="A88" s="687" t="s">
        <v>312</v>
      </c>
      <c r="B88" s="150">
        <v>721122.25</v>
      </c>
      <c r="C88" s="151">
        <f>SUM(C7:C87)</f>
        <v>0.99999999999999978</v>
      </c>
      <c r="D88" s="388">
        <f>'Total Inst. Cost'!G86</f>
        <v>4285662739.4764681</v>
      </c>
      <c r="E88" s="549" t="s">
        <v>705</v>
      </c>
      <c r="F88" s="390">
        <f>'District Services'!K95</f>
        <v>170258064.45440018</v>
      </c>
      <c r="G88" s="409">
        <f>SUM(D88:F88)</f>
        <v>4455920803.9308681</v>
      </c>
      <c r="H88" s="162"/>
      <c r="I88" s="388">
        <f>'FY 19 State Pmt (Opt 3)'!BE87</f>
        <v>2964700897.190001</v>
      </c>
      <c r="J88" s="551" t="s">
        <v>705</v>
      </c>
      <c r="K88" s="542">
        <f t="shared" si="30"/>
        <v>2964700897.190001</v>
      </c>
      <c r="L88" s="162"/>
      <c r="M88" s="513">
        <f>SUM(M6:M87)</f>
        <v>1491216944.6820018</v>
      </c>
      <c r="N88" s="557">
        <f>SUM(N6:N87)</f>
        <v>2964703860.2488651</v>
      </c>
      <c r="O88" s="562">
        <f>SUM(O7:O87)</f>
        <v>2962.3935260120779</v>
      </c>
      <c r="P88" s="444">
        <f t="shared" si="23"/>
        <v>0.66534033944981696</v>
      </c>
      <c r="Q88" s="162">
        <f>M88/ITA!B86*1000</f>
        <v>91.079437597076449</v>
      </c>
      <c r="R88" s="162"/>
      <c r="S88" s="513">
        <f>SUM(S7:S87)</f>
        <v>94065047.698649958</v>
      </c>
      <c r="T88" s="389">
        <f>SUM(T7:T87)</f>
        <v>3058768907.2821746</v>
      </c>
      <c r="U88" s="389">
        <f>SUM(U7:U87)</f>
        <v>94068010.092175946</v>
      </c>
      <c r="V88" s="158">
        <f t="shared" si="27"/>
        <v>0.6864504648699834</v>
      </c>
      <c r="W88" s="183">
        <f>SUM(W7:W87)</f>
        <v>1397151896.6486921</v>
      </c>
      <c r="X88" s="162">
        <f>W88/ITA!B86*1000</f>
        <v>85.33420267135422</v>
      </c>
    </row>
    <row r="89" spans="1:24" x14ac:dyDescent="0.25">
      <c r="A89" s="284" t="s">
        <v>600</v>
      </c>
      <c r="B89" s="284"/>
      <c r="C89" s="284"/>
      <c r="D89" s="284">
        <f>D88/$B$88</f>
        <v>5943.046050064976</v>
      </c>
      <c r="E89" s="284"/>
      <c r="F89" s="284">
        <f>F88/$B$88</f>
        <v>236.10152710500915</v>
      </c>
      <c r="G89" s="284">
        <f>G88/$B$88</f>
        <v>6179.1475771699852</v>
      </c>
      <c r="H89" s="445"/>
      <c r="I89" s="284">
        <f t="shared" ref="I89:K89" si="31">I88/$B$88</f>
        <v>4111.2320375498066</v>
      </c>
      <c r="J89" s="284"/>
      <c r="K89" s="284">
        <f t="shared" si="31"/>
        <v>4111.2320375498066</v>
      </c>
      <c r="L89" s="445"/>
      <c r="M89" s="284">
        <f t="shared" ref="M89:N89" si="32">M88/$B$88</f>
        <v>2067.9114320519188</v>
      </c>
      <c r="N89" s="284">
        <f t="shared" si="32"/>
        <v>4111.2361465047916</v>
      </c>
      <c r="O89" s="284">
        <f>O88/$B$88</f>
        <v>4.1080323426604549E-3</v>
      </c>
      <c r="P89" s="445"/>
      <c r="Q89" s="445"/>
      <c r="R89" s="445"/>
      <c r="S89" s="284">
        <f t="shared" ref="S89:U89" si="33">S88/$B$88</f>
        <v>130.44258126642183</v>
      </c>
      <c r="T89" s="284">
        <f t="shared" si="33"/>
        <v>4241.6787268485677</v>
      </c>
      <c r="U89" s="284">
        <f t="shared" si="33"/>
        <v>130.44668929876445</v>
      </c>
      <c r="W89" s="284">
        <f>W88/$B$88</f>
        <v>1937.4688503214152</v>
      </c>
      <c r="X89" s="206"/>
    </row>
    <row r="90" spans="1:24" x14ac:dyDescent="0.25">
      <c r="H90" s="206"/>
      <c r="L90" s="206"/>
      <c r="M90" s="38"/>
      <c r="N90" s="289" t="s">
        <v>585</v>
      </c>
      <c r="O90" s="105">
        <f>SUMIF(O7:O87,"&gt;0")</f>
        <v>94068010.092175946</v>
      </c>
      <c r="P90" s="371">
        <f>COUNTIF(O7:O87,"&gt;0")</f>
        <v>66</v>
      </c>
      <c r="Q90" s="206">
        <f>MIN(Q7:Q87)</f>
        <v>77.994893466244378</v>
      </c>
      <c r="R90" s="206"/>
      <c r="T90" s="452" t="s">
        <v>704</v>
      </c>
      <c r="U90" s="451">
        <f>SUMIF(U7:U87,"&gt;0")</f>
        <v>94068010.092175946</v>
      </c>
      <c r="V90" s="371">
        <f>COUNTIF(U7:U87,"&gt;0")</f>
        <v>66</v>
      </c>
      <c r="W90" s="400" t="s">
        <v>702</v>
      </c>
      <c r="X90" s="206">
        <f>MIN(X7:X87)</f>
        <v>69.420525122399155</v>
      </c>
    </row>
    <row r="91" spans="1:24" x14ac:dyDescent="0.25">
      <c r="H91" s="206"/>
      <c r="L91" s="206"/>
      <c r="M91" s="38"/>
      <c r="N91" s="289" t="s">
        <v>586</v>
      </c>
      <c r="O91" s="105">
        <f>SUMIF(O7:O87,"&lt;0")</f>
        <v>-94065047.698649958</v>
      </c>
      <c r="P91" s="371">
        <f>COUNTIF(O7:O87,"&lt;0")</f>
        <v>15</v>
      </c>
      <c r="Q91" s="206">
        <f>MAX(Q7:Q87)</f>
        <v>128.55099026504612</v>
      </c>
      <c r="R91" s="206"/>
      <c r="U91" s="105">
        <f>SUMIF(U7:U87,"&lt;0")</f>
        <v>0</v>
      </c>
      <c r="V91" s="371">
        <f>COUNTIF(U7:U87,"&lt;0")</f>
        <v>0</v>
      </c>
      <c r="W91" s="400" t="s">
        <v>703</v>
      </c>
      <c r="X91" s="206">
        <f>MAX(X7:X87)</f>
        <v>128.55099026504612</v>
      </c>
    </row>
    <row r="92" spans="1:24" x14ac:dyDescent="0.25">
      <c r="M92" s="38"/>
    </row>
    <row r="93" spans="1:24" x14ac:dyDescent="0.25">
      <c r="M93" s="38"/>
    </row>
  </sheetData>
  <mergeCells count="6">
    <mergeCell ref="D2:G2"/>
    <mergeCell ref="S3:V3"/>
    <mergeCell ref="W3:X3"/>
    <mergeCell ref="D3:G3"/>
    <mergeCell ref="I3:K3"/>
    <mergeCell ref="M3:N3"/>
  </mergeCells>
  <conditionalFormatting sqref="G7">
    <cfRule type="expression" priority="1">
      <formula>"&lt;$N$6"</formula>
    </cfRule>
  </conditionalFormatting>
  <printOptions horizontalCentered="1"/>
  <pageMargins left="0.5" right="0.5" top="0.75" bottom="0.75" header="0.55000000000000004" footer="0.3"/>
  <pageSetup paperSize="5" scale="61" fitToHeight="2" orientation="landscape" r:id="rId1"/>
  <headerFooter>
    <oddHeader>&amp;R&amp;"-,Bold"&amp;12Option 3 Page &amp;P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4"/>
  <dimension ref="A1:AG91"/>
  <sheetViews>
    <sheetView zoomScaleNormal="100" workbookViewId="0">
      <selection activeCell="G17" sqref="G17"/>
    </sheetView>
  </sheetViews>
  <sheetFormatPr defaultRowHeight="15" x14ac:dyDescent="0.25"/>
  <cols>
    <col min="1" max="1" width="17.28515625" bestFit="1" customWidth="1"/>
    <col min="2" max="2" width="11" hidden="1" customWidth="1"/>
    <col min="3" max="3" width="9.5703125" style="72" hidden="1" customWidth="1"/>
    <col min="4" max="5" width="14.42578125" bestFit="1" customWidth="1"/>
    <col min="6" max="6" width="12.7109375" bestFit="1" customWidth="1"/>
    <col min="7" max="7" width="13.85546875" style="38" bestFit="1" customWidth="1"/>
    <col min="8" max="8" width="12.7109375" style="83" bestFit="1" customWidth="1"/>
    <col min="9" max="9" width="14.42578125" style="83" bestFit="1" customWidth="1"/>
    <col min="10" max="10" width="11.42578125" style="83" bestFit="1" customWidth="1"/>
    <col min="11" max="12" width="12.7109375" style="83" bestFit="1" customWidth="1"/>
    <col min="13" max="13" width="11.42578125" style="83" bestFit="1" customWidth="1"/>
    <col min="14" max="14" width="12.7109375" style="83" bestFit="1" customWidth="1"/>
    <col min="15" max="15" width="10.42578125" style="83" bestFit="1" customWidth="1"/>
    <col min="16" max="16" width="11.42578125" style="83" bestFit="1" customWidth="1"/>
    <col min="17" max="17" width="14.42578125" style="83" bestFit="1" customWidth="1"/>
    <col min="18" max="18" width="14.42578125" style="38" bestFit="1" customWidth="1"/>
    <col min="19" max="19" width="11.42578125" style="38" bestFit="1" customWidth="1"/>
    <col min="20" max="20" width="8.42578125" bestFit="1" customWidth="1"/>
    <col min="21" max="21" width="2.28515625" customWidth="1"/>
    <col min="22" max="22" width="17.28515625" bestFit="1" customWidth="1"/>
    <col min="23" max="24" width="15.140625" bestFit="1" customWidth="1"/>
    <col min="25" max="25" width="3" customWidth="1"/>
    <col min="26" max="26" width="13.7109375" bestFit="1" customWidth="1"/>
    <col min="27" max="27" width="6" bestFit="1" customWidth="1"/>
    <col min="28" max="28" width="12.85546875" bestFit="1" customWidth="1"/>
    <col min="29" max="29" width="16.42578125" bestFit="1" customWidth="1"/>
    <col min="30" max="30" width="14.28515625" customWidth="1"/>
    <col min="31" max="31" width="11.42578125" bestFit="1" customWidth="1"/>
    <col min="32" max="32" width="15.140625" bestFit="1" customWidth="1"/>
    <col min="33" max="33" width="8.42578125" bestFit="1" customWidth="1"/>
  </cols>
  <sheetData>
    <row r="1" spans="1:33" ht="23.25" x14ac:dyDescent="0.35">
      <c r="A1" s="4" t="s">
        <v>696</v>
      </c>
      <c r="B1" s="4"/>
      <c r="C1" s="71"/>
    </row>
    <row r="2" spans="1:33" ht="15.75" thickBot="1" x14ac:dyDescent="0.3"/>
    <row r="3" spans="1:33" ht="15.75" thickBot="1" x14ac:dyDescent="0.3">
      <c r="A3" s="544"/>
      <c r="D3" s="928" t="s">
        <v>214</v>
      </c>
      <c r="E3" s="929"/>
      <c r="F3" s="929"/>
      <c r="G3" s="929"/>
      <c r="H3" s="928" t="s">
        <v>608</v>
      </c>
      <c r="I3" s="929"/>
      <c r="J3" s="930"/>
      <c r="K3" s="928" t="s">
        <v>609</v>
      </c>
      <c r="L3" s="929"/>
      <c r="M3" s="930"/>
      <c r="N3" s="928" t="s">
        <v>610</v>
      </c>
      <c r="O3" s="929"/>
      <c r="P3" s="930"/>
      <c r="Q3" s="928" t="s">
        <v>210</v>
      </c>
      <c r="R3" s="929"/>
      <c r="S3" s="930"/>
      <c r="T3" s="431"/>
      <c r="U3" s="431"/>
      <c r="V3" s="919" t="s">
        <v>584</v>
      </c>
      <c r="W3" s="920"/>
      <c r="X3" s="921"/>
      <c r="Y3" s="431"/>
      <c r="AA3" s="431"/>
      <c r="AB3" s="919" t="s">
        <v>576</v>
      </c>
      <c r="AC3" s="921"/>
      <c r="AF3" s="919" t="s">
        <v>207</v>
      </c>
      <c r="AG3" s="921"/>
    </row>
    <row r="4" spans="1:33" s="82" customFormat="1" ht="45.75" thickBot="1" x14ac:dyDescent="0.3">
      <c r="A4" s="744" t="s">
        <v>0</v>
      </c>
      <c r="B4" s="57" t="s">
        <v>86</v>
      </c>
      <c r="C4" s="84" t="s">
        <v>200</v>
      </c>
      <c r="D4" s="57" t="s">
        <v>166</v>
      </c>
      <c r="E4" s="57" t="s">
        <v>167</v>
      </c>
      <c r="F4" s="57" t="s">
        <v>168</v>
      </c>
      <c r="G4" s="77" t="s">
        <v>99</v>
      </c>
      <c r="H4" s="80" t="s">
        <v>207</v>
      </c>
      <c r="I4" s="57" t="s">
        <v>211</v>
      </c>
      <c r="J4" s="57" t="s">
        <v>209</v>
      </c>
      <c r="K4" s="80" t="s">
        <v>207</v>
      </c>
      <c r="L4" s="57" t="s">
        <v>211</v>
      </c>
      <c r="M4" s="57" t="s">
        <v>209</v>
      </c>
      <c r="N4" s="80" t="s">
        <v>207</v>
      </c>
      <c r="O4" s="57" t="s">
        <v>211</v>
      </c>
      <c r="P4" s="57" t="s">
        <v>209</v>
      </c>
      <c r="Q4" s="81" t="s">
        <v>212</v>
      </c>
      <c r="R4" s="57" t="s">
        <v>208</v>
      </c>
      <c r="S4" s="70" t="s">
        <v>209</v>
      </c>
      <c r="T4" s="57" t="s">
        <v>698</v>
      </c>
      <c r="U4" s="57"/>
      <c r="V4" s="103" t="s">
        <v>559</v>
      </c>
      <c r="W4" s="199" t="s">
        <v>560</v>
      </c>
      <c r="X4" s="166" t="s">
        <v>91</v>
      </c>
      <c r="Y4" s="57"/>
      <c r="Z4" s="199" t="s">
        <v>561</v>
      </c>
      <c r="AA4" s="57"/>
      <c r="AB4" s="57" t="s">
        <v>588</v>
      </c>
      <c r="AC4" s="77" t="s">
        <v>602</v>
      </c>
      <c r="AD4" s="57" t="s">
        <v>603</v>
      </c>
      <c r="AE4" s="57" t="s">
        <v>589</v>
      </c>
      <c r="AF4" s="57" t="s">
        <v>587</v>
      </c>
      <c r="AG4" s="57" t="s">
        <v>697</v>
      </c>
    </row>
    <row r="5" spans="1:33" s="3" customFormat="1" ht="15.75" thickBot="1" x14ac:dyDescent="0.3">
      <c r="A5" s="746" t="s">
        <v>715</v>
      </c>
      <c r="B5" s="171"/>
      <c r="C5" s="437"/>
      <c r="D5" s="782" t="s">
        <v>716</v>
      </c>
      <c r="E5" s="782" t="s">
        <v>717</v>
      </c>
      <c r="F5" s="755" t="s">
        <v>718</v>
      </c>
      <c r="G5" s="783" t="s">
        <v>719</v>
      </c>
      <c r="H5" s="756" t="s">
        <v>720</v>
      </c>
      <c r="I5" s="783" t="s">
        <v>721</v>
      </c>
      <c r="J5" s="755" t="s">
        <v>722</v>
      </c>
      <c r="K5" s="786" t="s">
        <v>723</v>
      </c>
      <c r="L5" s="755" t="s">
        <v>724</v>
      </c>
      <c r="M5" s="767" t="s">
        <v>725</v>
      </c>
      <c r="N5" s="786" t="s">
        <v>726</v>
      </c>
      <c r="O5" s="755" t="s">
        <v>727</v>
      </c>
      <c r="P5" s="767" t="s">
        <v>728</v>
      </c>
      <c r="Q5" s="782" t="s">
        <v>729</v>
      </c>
      <c r="R5" s="755" t="s">
        <v>730</v>
      </c>
      <c r="S5" s="784" t="s">
        <v>731</v>
      </c>
      <c r="T5" s="755" t="s">
        <v>732</v>
      </c>
      <c r="U5" s="785"/>
      <c r="V5" s="787" t="s">
        <v>733</v>
      </c>
      <c r="W5" s="768" t="s">
        <v>734</v>
      </c>
      <c r="X5" s="749" t="s">
        <v>735</v>
      </c>
      <c r="Y5" s="785"/>
      <c r="Z5" s="769" t="s">
        <v>736</v>
      </c>
      <c r="AA5" s="785"/>
      <c r="AB5" s="757" t="s">
        <v>737</v>
      </c>
      <c r="AC5" s="783" t="s">
        <v>738</v>
      </c>
      <c r="AD5" s="757" t="s">
        <v>739</v>
      </c>
      <c r="AE5" s="767" t="s">
        <v>740</v>
      </c>
      <c r="AF5" s="755" t="s">
        <v>741</v>
      </c>
      <c r="AG5" s="767" t="s">
        <v>742</v>
      </c>
    </row>
    <row r="6" spans="1:33" s="3" customFormat="1" ht="15.75" thickBot="1" x14ac:dyDescent="0.3">
      <c r="A6" s="135"/>
      <c r="B6" s="171"/>
      <c r="C6" s="437"/>
      <c r="D6" s="569"/>
      <c r="E6" s="569"/>
      <c r="F6" s="781"/>
      <c r="G6" s="419"/>
      <c r="H6" s="570">
        <f>1-I6</f>
        <v>0.19985853791170705</v>
      </c>
      <c r="I6" s="571">
        <v>0.80014146208829295</v>
      </c>
      <c r="J6" s="572"/>
      <c r="K6" s="573">
        <f>1-L6</f>
        <v>0.19985853791170705</v>
      </c>
      <c r="L6" s="575">
        <f>I6</f>
        <v>0.80014146208829295</v>
      </c>
      <c r="M6" s="574"/>
      <c r="N6" s="576">
        <f>1-O6</f>
        <v>1</v>
      </c>
      <c r="O6" s="575">
        <v>0</v>
      </c>
      <c r="P6" s="574"/>
      <c r="Q6" s="576"/>
      <c r="R6" s="578">
        <f>R88/G88</f>
        <v>0.77519946456325539</v>
      </c>
      <c r="S6" s="577"/>
      <c r="T6" s="149"/>
      <c r="U6" s="149"/>
      <c r="V6" s="177"/>
      <c r="W6" s="178"/>
      <c r="X6" s="526"/>
      <c r="Y6" s="149"/>
      <c r="Z6" s="149"/>
      <c r="AA6" s="149"/>
      <c r="AB6" s="177"/>
      <c r="AC6" s="526"/>
      <c r="AD6" s="584"/>
      <c r="AE6" s="179"/>
      <c r="AF6" s="149"/>
      <c r="AG6" s="425"/>
    </row>
    <row r="7" spans="1:33" x14ac:dyDescent="0.25">
      <c r="A7" s="167" t="s">
        <v>4</v>
      </c>
      <c r="B7" s="93">
        <v>2915.96</v>
      </c>
      <c r="C7" s="168">
        <v>2.4090000000000001E-3</v>
      </c>
      <c r="D7" s="136">
        <f>'Total Inst. Cost'!G5</f>
        <v>17451819.025048982</v>
      </c>
      <c r="E7" s="136">
        <f>Facilities!J15</f>
        <v>4116542.972948039</v>
      </c>
      <c r="F7" s="136">
        <f>'District Services'!K14</f>
        <v>1236460.9204746105</v>
      </c>
      <c r="G7" s="432">
        <f>SUM(D7:F7)</f>
        <v>22804822.918471634</v>
      </c>
      <c r="H7" s="136">
        <f>C7*($D$88*$H$6)</f>
        <v>2063371.8304285253</v>
      </c>
      <c r="I7" s="136">
        <f>D7-H7</f>
        <v>15388447.194620457</v>
      </c>
      <c r="J7" s="169">
        <f>I7/D7</f>
        <v>0.88176752076864184</v>
      </c>
      <c r="K7" s="136">
        <f>C7*($E$88*$K$6)</f>
        <v>484253.21921741037</v>
      </c>
      <c r="L7" s="136">
        <f>E7-K7</f>
        <v>3632289.7537306286</v>
      </c>
      <c r="M7" s="169">
        <f t="shared" ref="M7:M38" si="0">L7/E7</f>
        <v>0.88236410444402213</v>
      </c>
      <c r="N7" s="136">
        <f>F7</f>
        <v>1236460.9204746105</v>
      </c>
      <c r="O7" s="136">
        <f>F7-N7</f>
        <v>0</v>
      </c>
      <c r="P7" s="169">
        <f t="shared" ref="P7:P38" si="1">O7/F7</f>
        <v>0</v>
      </c>
      <c r="Q7" s="136">
        <f>H7+K7+N7</f>
        <v>3784085.9701205464</v>
      </c>
      <c r="R7" s="136">
        <f>I7+L7+O7</f>
        <v>19020736.948351085</v>
      </c>
      <c r="S7" s="169">
        <f t="shared" ref="S7:S38" si="2">R7/G7</f>
        <v>0.83406641728160558</v>
      </c>
      <c r="T7" s="563">
        <f>Q7/ITA!B5*1000</f>
        <v>95.957754040113755</v>
      </c>
      <c r="U7" s="563"/>
      <c r="V7" s="459">
        <f>'FY 19 State Pmt'!BL6</f>
        <v>13843357.630000006</v>
      </c>
      <c r="W7" s="460">
        <f>'Prop Tax'!K5</f>
        <v>4688008.4115861459</v>
      </c>
      <c r="X7" s="532">
        <f>V7+W7</f>
        <v>18531366.041586153</v>
      </c>
      <c r="Y7" s="563"/>
      <c r="Z7" s="568">
        <f>R7-X7</f>
        <v>489370.90676493198</v>
      </c>
      <c r="AA7" s="563"/>
      <c r="AB7" s="391">
        <f t="shared" ref="AB7:AB38" si="3">IF(Z7&lt;0,X7-R7,0)</f>
        <v>0</v>
      </c>
      <c r="AC7" s="580">
        <f t="shared" ref="AC7:AC38" si="4">AB7+R7</f>
        <v>19020736.948351085</v>
      </c>
      <c r="AD7" s="391">
        <f>AC7-X7</f>
        <v>489370.90676493198</v>
      </c>
      <c r="AE7" s="169">
        <f t="shared" ref="AE7:AE38" si="5">AC7/G7</f>
        <v>0.83406641728160558</v>
      </c>
      <c r="AF7" s="568">
        <f t="shared" ref="AF7:AF38" si="6">G7-AC7</f>
        <v>3784085.9701205492</v>
      </c>
      <c r="AG7" s="563">
        <f>AF7/ITA!B5*1000</f>
        <v>95.957754040113826</v>
      </c>
    </row>
    <row r="8" spans="1:33" x14ac:dyDescent="0.25">
      <c r="A8" s="125" t="s">
        <v>5</v>
      </c>
      <c r="B8" s="126">
        <v>23246.81</v>
      </c>
      <c r="C8" s="127">
        <v>2.8013E-2</v>
      </c>
      <c r="D8" s="128">
        <f>'Total Inst. Cost'!G6</f>
        <v>138895821.26898709</v>
      </c>
      <c r="E8" s="128">
        <f>Facilities!J16</f>
        <v>32549340.349257912</v>
      </c>
      <c r="F8" s="128">
        <f>'District Services'!K15</f>
        <v>4204534.977216037</v>
      </c>
      <c r="G8" s="433">
        <f t="shared" ref="G8:G71" si="7">SUM(D8:F8)</f>
        <v>175649696.59546104</v>
      </c>
      <c r="H8" s="128">
        <f t="shared" ref="H8:H71" si="8">C8*($D$88*$H$6)</f>
        <v>23993870.936402772</v>
      </c>
      <c r="I8" s="128">
        <f t="shared" ref="I8:I71" si="9">D8-H8</f>
        <v>114901950.33258432</v>
      </c>
      <c r="J8" s="132">
        <f t="shared" ref="J8:J71" si="10">I8/D8</f>
        <v>0.82725275161492451</v>
      </c>
      <c r="K8" s="128">
        <f t="shared" ref="K8:K71" si="11">C8*($E$88*$K$6)</f>
        <v>5631127.2021325519</v>
      </c>
      <c r="L8" s="128">
        <f t="shared" ref="L8:L71" si="12">E8-K8</f>
        <v>26918213.14712536</v>
      </c>
      <c r="M8" s="132">
        <f t="shared" si="0"/>
        <v>0.82699719436062435</v>
      </c>
      <c r="N8" s="128">
        <f t="shared" ref="N8:N71" si="13">F8</f>
        <v>4204534.977216037</v>
      </c>
      <c r="O8" s="128">
        <f t="shared" ref="O8:O38" si="14">F8-N8</f>
        <v>0</v>
      </c>
      <c r="P8" s="132">
        <f>O8/F8</f>
        <v>0</v>
      </c>
      <c r="Q8" s="128">
        <f t="shared" ref="Q8:Q38" si="15">H8+K8+N8</f>
        <v>33829533.115751363</v>
      </c>
      <c r="R8" s="128">
        <f t="shared" ref="R8:R38" si="16">I8+L8+O8</f>
        <v>141820163.47970968</v>
      </c>
      <c r="S8" s="132">
        <f t="shared" si="2"/>
        <v>0.80740340705703473</v>
      </c>
      <c r="T8" s="564">
        <f>Q8/ITA!B6*1000</f>
        <v>73.759441122368116</v>
      </c>
      <c r="U8" s="564"/>
      <c r="V8" s="462">
        <f>'FY 19 State Pmt'!BL7</f>
        <v>100301597.23999999</v>
      </c>
      <c r="W8" s="463">
        <f>'Prop Tax'!K6</f>
        <v>34301239.855596095</v>
      </c>
      <c r="X8" s="533">
        <f t="shared" ref="X8:X71" si="17">V8+W8</f>
        <v>134602837.09559608</v>
      </c>
      <c r="Y8" s="564"/>
      <c r="Z8" s="560">
        <f t="shared" ref="Z8:Z38" si="18">R8-X8</f>
        <v>7217326.3841136098</v>
      </c>
      <c r="AA8" s="564"/>
      <c r="AB8" s="392">
        <f t="shared" si="3"/>
        <v>0</v>
      </c>
      <c r="AC8" s="581">
        <f t="shared" si="4"/>
        <v>141820163.47970968</v>
      </c>
      <c r="AD8" s="392">
        <f>AC8-X8</f>
        <v>7217326.3841136098</v>
      </c>
      <c r="AE8" s="132">
        <f t="shared" si="5"/>
        <v>0.80740340705703473</v>
      </c>
      <c r="AF8" s="560">
        <f t="shared" si="6"/>
        <v>33829533.115751356</v>
      </c>
      <c r="AG8" s="564">
        <f>AF8/ITA!B6*1000</f>
        <v>73.759441122368102</v>
      </c>
    </row>
    <row r="9" spans="1:33" x14ac:dyDescent="0.25">
      <c r="A9" s="123" t="s">
        <v>6</v>
      </c>
      <c r="B9" s="47">
        <v>1028.55</v>
      </c>
      <c r="C9" s="73">
        <v>1.255E-3</v>
      </c>
      <c r="D9" s="58">
        <f>'Total Inst. Cost'!G7</f>
        <v>6507619.5006696107</v>
      </c>
      <c r="E9" s="58">
        <f>Facilities!J17</f>
        <v>1509651.1383668971</v>
      </c>
      <c r="F9" s="58">
        <f>'District Services'!K16</f>
        <v>1158361.8245410377</v>
      </c>
      <c r="G9" s="434">
        <f t="shared" si="7"/>
        <v>9175632.4635775462</v>
      </c>
      <c r="H9" s="58">
        <f t="shared" si="8"/>
        <v>1074940.4928135322</v>
      </c>
      <c r="I9" s="58">
        <f t="shared" si="9"/>
        <v>5432679.0078560784</v>
      </c>
      <c r="J9" s="79">
        <f t="shared" si="10"/>
        <v>0.83481817080686349</v>
      </c>
      <c r="K9" s="58">
        <f t="shared" si="11"/>
        <v>252278.03657860111</v>
      </c>
      <c r="L9" s="58">
        <f t="shared" si="12"/>
        <v>1257373.1017882959</v>
      </c>
      <c r="M9" s="79">
        <f t="shared" si="0"/>
        <v>0.832889844436835</v>
      </c>
      <c r="N9" s="58">
        <f t="shared" si="13"/>
        <v>1158361.8245410377</v>
      </c>
      <c r="O9" s="58">
        <f t="shared" si="14"/>
        <v>0</v>
      </c>
      <c r="P9" s="79">
        <f t="shared" si="1"/>
        <v>0</v>
      </c>
      <c r="Q9" s="58">
        <f t="shared" si="15"/>
        <v>2485580.3539331714</v>
      </c>
      <c r="R9" s="58">
        <f t="shared" si="16"/>
        <v>6690052.1096443739</v>
      </c>
      <c r="S9" s="79">
        <f t="shared" si="2"/>
        <v>0.72911073282418137</v>
      </c>
      <c r="T9" s="565">
        <f>Q9/ITA!B7*1000</f>
        <v>120.96553578861366</v>
      </c>
      <c r="U9" s="565"/>
      <c r="V9" s="464">
        <f>'FY 19 State Pmt'!BL8</f>
        <v>5482811.0600000015</v>
      </c>
      <c r="W9" s="465">
        <f>'Prop Tax'!K7</f>
        <v>3689322.6096002236</v>
      </c>
      <c r="X9" s="534">
        <f>V9+W9</f>
        <v>9172133.669600226</v>
      </c>
      <c r="Y9" s="565"/>
      <c r="Z9" s="559">
        <f t="shared" si="18"/>
        <v>-2482081.5599558521</v>
      </c>
      <c r="AA9" s="565"/>
      <c r="AB9" s="393">
        <f t="shared" si="3"/>
        <v>2482081.5599558521</v>
      </c>
      <c r="AC9" s="582">
        <f t="shared" si="4"/>
        <v>9172133.669600226</v>
      </c>
      <c r="AD9" s="393">
        <f>AC9-X9</f>
        <v>0</v>
      </c>
      <c r="AE9" s="79">
        <f t="shared" si="5"/>
        <v>0.99961868634219941</v>
      </c>
      <c r="AF9" s="559">
        <f t="shared" si="6"/>
        <v>3498.7939773201942</v>
      </c>
      <c r="AG9" s="565">
        <f>AF9/ITA!B7*1000</f>
        <v>0.17027552032698887</v>
      </c>
    </row>
    <row r="10" spans="1:33" x14ac:dyDescent="0.25">
      <c r="A10" s="125" t="s">
        <v>7</v>
      </c>
      <c r="B10" s="126">
        <v>9875.19</v>
      </c>
      <c r="C10" s="127">
        <v>7.528E-3</v>
      </c>
      <c r="D10" s="128">
        <f>'Total Inst. Cost'!G8</f>
        <v>57334020.757144377</v>
      </c>
      <c r="E10" s="128">
        <f>Facilities!J18</f>
        <v>13489489.024875108</v>
      </c>
      <c r="F10" s="128">
        <f>'District Services'!K17</f>
        <v>2570120.165301017</v>
      </c>
      <c r="G10" s="433">
        <f t="shared" si="7"/>
        <v>73393629.947320491</v>
      </c>
      <c r="H10" s="128">
        <f t="shared" si="8"/>
        <v>6447929.904303004</v>
      </c>
      <c r="I10" s="128">
        <f t="shared" si="9"/>
        <v>50886090.85284137</v>
      </c>
      <c r="J10" s="132">
        <f t="shared" si="10"/>
        <v>0.88753745474061263</v>
      </c>
      <c r="K10" s="128">
        <f t="shared" si="11"/>
        <v>1513266.1827599276</v>
      </c>
      <c r="L10" s="128">
        <f t="shared" si="12"/>
        <v>11976222.842115181</v>
      </c>
      <c r="M10" s="132">
        <f t="shared" si="0"/>
        <v>0.88781886549079736</v>
      </c>
      <c r="N10" s="128">
        <f t="shared" si="13"/>
        <v>2570120.165301017</v>
      </c>
      <c r="O10" s="128">
        <f t="shared" si="14"/>
        <v>0</v>
      </c>
      <c r="P10" s="132">
        <f t="shared" si="1"/>
        <v>0</v>
      </c>
      <c r="Q10" s="128">
        <f t="shared" si="15"/>
        <v>10531316.252363948</v>
      </c>
      <c r="R10" s="128">
        <f t="shared" si="16"/>
        <v>62862313.694956549</v>
      </c>
      <c r="S10" s="132">
        <f t="shared" si="2"/>
        <v>0.85650912402175816</v>
      </c>
      <c r="T10" s="564">
        <f>Q10/ITA!B8*1000</f>
        <v>85.443477497223597</v>
      </c>
      <c r="U10" s="564"/>
      <c r="V10" s="462">
        <f>'FY 19 State Pmt'!BL9</f>
        <v>45349949.480000004</v>
      </c>
      <c r="W10" s="463">
        <f>'Prop Tax'!K8</f>
        <v>12492899.559404787</v>
      </c>
      <c r="X10" s="533">
        <f t="shared" si="17"/>
        <v>57842849.039404795</v>
      </c>
      <c r="Y10" s="564"/>
      <c r="Z10" s="560">
        <f t="shared" si="18"/>
        <v>5019464.6555517539</v>
      </c>
      <c r="AA10" s="564"/>
      <c r="AB10" s="392">
        <f t="shared" si="3"/>
        <v>0</v>
      </c>
      <c r="AC10" s="581">
        <f t="shared" si="4"/>
        <v>62862313.694956549</v>
      </c>
      <c r="AD10" s="392">
        <f t="shared" ref="AD10:AD73" si="19">AC10-X10</f>
        <v>5019464.6555517539</v>
      </c>
      <c r="AE10" s="132">
        <f t="shared" si="5"/>
        <v>0.85650912402175816</v>
      </c>
      <c r="AF10" s="560">
        <f t="shared" si="6"/>
        <v>10531316.252363943</v>
      </c>
      <c r="AG10" s="564">
        <f>AF10/ITA!B8*1000</f>
        <v>85.443477497223554</v>
      </c>
    </row>
    <row r="11" spans="1:33" x14ac:dyDescent="0.25">
      <c r="A11" s="123" t="s">
        <v>8</v>
      </c>
      <c r="B11" s="47">
        <v>3618.89</v>
      </c>
      <c r="C11" s="73">
        <v>2.4030000000000002E-3</v>
      </c>
      <c r="D11" s="136">
        <f>'Total Inst. Cost'!G9</f>
        <v>22183673.082758758</v>
      </c>
      <c r="E11" s="136">
        <f>Facilities!J19</f>
        <v>5126137.8278631568</v>
      </c>
      <c r="F11" s="136">
        <f>'District Services'!K18</f>
        <v>1267198.941009718</v>
      </c>
      <c r="G11" s="432">
        <f t="shared" si="7"/>
        <v>28577009.851631634</v>
      </c>
      <c r="H11" s="136">
        <f t="shared" si="8"/>
        <v>2058232.6726939587</v>
      </c>
      <c r="I11" s="136">
        <f t="shared" si="9"/>
        <v>20125440.410064798</v>
      </c>
      <c r="J11" s="79">
        <f t="shared" si="10"/>
        <v>0.90721858075461692</v>
      </c>
      <c r="K11" s="136">
        <f t="shared" si="11"/>
        <v>483047.10908237327</v>
      </c>
      <c r="L11" s="136">
        <f t="shared" si="12"/>
        <v>4643090.7187807839</v>
      </c>
      <c r="M11" s="79">
        <f t="shared" si="0"/>
        <v>0.90576782651906729</v>
      </c>
      <c r="N11" s="136">
        <f t="shared" si="13"/>
        <v>1267198.941009718</v>
      </c>
      <c r="O11" s="136">
        <f t="shared" si="14"/>
        <v>0</v>
      </c>
      <c r="P11" s="79">
        <f t="shared" si="1"/>
        <v>0</v>
      </c>
      <c r="Q11" s="136">
        <f t="shared" si="15"/>
        <v>3808478.7227860498</v>
      </c>
      <c r="R11" s="136">
        <f t="shared" si="16"/>
        <v>24768531.12884558</v>
      </c>
      <c r="S11" s="79">
        <f t="shared" si="2"/>
        <v>0.8667292784458831</v>
      </c>
      <c r="T11" s="565">
        <f>Q11/ITA!B9*1000</f>
        <v>96.795818691740465</v>
      </c>
      <c r="U11" s="565"/>
      <c r="V11" s="464">
        <f>'FY 19 State Pmt'!BL10</f>
        <v>18404965.759999994</v>
      </c>
      <c r="W11" s="465">
        <f>'Prop Tax'!K9</f>
        <v>5232157.2744191503</v>
      </c>
      <c r="X11" s="535">
        <f t="shared" si="17"/>
        <v>23637123.034419145</v>
      </c>
      <c r="Y11" s="565"/>
      <c r="Z11" s="559">
        <f t="shared" si="18"/>
        <v>1131408.0944264345</v>
      </c>
      <c r="AA11" s="565"/>
      <c r="AB11" s="393">
        <f t="shared" si="3"/>
        <v>0</v>
      </c>
      <c r="AC11" s="582">
        <f t="shared" si="4"/>
        <v>24768531.12884558</v>
      </c>
      <c r="AD11" s="393">
        <f t="shared" si="19"/>
        <v>1131408.0944264345</v>
      </c>
      <c r="AE11" s="79">
        <f t="shared" si="5"/>
        <v>0.8667292784458831</v>
      </c>
      <c r="AF11" s="559">
        <f t="shared" si="6"/>
        <v>3808478.722786054</v>
      </c>
      <c r="AG11" s="565">
        <f>AF11/ITA!B9*1000</f>
        <v>96.795818691740564</v>
      </c>
    </row>
    <row r="12" spans="1:33" x14ac:dyDescent="0.25">
      <c r="A12" s="125" t="s">
        <v>9</v>
      </c>
      <c r="B12" s="126">
        <v>2479.0500000000002</v>
      </c>
      <c r="C12" s="127">
        <v>1.9239999999999999E-3</v>
      </c>
      <c r="D12" s="128">
        <f>'Total Inst. Cost'!G10</f>
        <v>15298595.086391399</v>
      </c>
      <c r="E12" s="128">
        <f>Facilities!J20</f>
        <v>3556444.4860893651</v>
      </c>
      <c r="F12" s="128">
        <f>'District Services'!K19</f>
        <v>1220232.1101873219</v>
      </c>
      <c r="G12" s="433">
        <f t="shared" si="7"/>
        <v>20075271.682668086</v>
      </c>
      <c r="H12" s="128">
        <f t="shared" si="8"/>
        <v>1647956.5802177179</v>
      </c>
      <c r="I12" s="128">
        <f t="shared" si="9"/>
        <v>13650638.506173681</v>
      </c>
      <c r="J12" s="132">
        <f t="shared" si="10"/>
        <v>0.89228052831572569</v>
      </c>
      <c r="K12" s="128">
        <f t="shared" si="11"/>
        <v>386759.31663524179</v>
      </c>
      <c r="L12" s="128">
        <f t="shared" si="12"/>
        <v>3169685.1694541234</v>
      </c>
      <c r="M12" s="132">
        <f t="shared" si="0"/>
        <v>0.89125113068740214</v>
      </c>
      <c r="N12" s="128">
        <f t="shared" si="13"/>
        <v>1220232.1101873219</v>
      </c>
      <c r="O12" s="128">
        <f t="shared" si="14"/>
        <v>0</v>
      </c>
      <c r="P12" s="132">
        <f t="shared" si="1"/>
        <v>0</v>
      </c>
      <c r="Q12" s="128">
        <f t="shared" si="15"/>
        <v>3254948.0070402818</v>
      </c>
      <c r="R12" s="128">
        <f t="shared" si="16"/>
        <v>16820323.675627805</v>
      </c>
      <c r="S12" s="132">
        <f t="shared" si="2"/>
        <v>0.83786281657894435</v>
      </c>
      <c r="T12" s="564">
        <f>Q12/ITA!B10*1000</f>
        <v>103.34123936731933</v>
      </c>
      <c r="U12" s="564"/>
      <c r="V12" s="462">
        <f>'FY 19 State Pmt'!BL11</f>
        <v>12974059.230000002</v>
      </c>
      <c r="W12" s="463">
        <f>'Prop Tax'!K10</f>
        <v>2928063.056532206</v>
      </c>
      <c r="X12" s="533">
        <f t="shared" si="17"/>
        <v>15902122.286532208</v>
      </c>
      <c r="Y12" s="564"/>
      <c r="Z12" s="560">
        <f t="shared" si="18"/>
        <v>918201.38909559697</v>
      </c>
      <c r="AA12" s="564"/>
      <c r="AB12" s="392">
        <f t="shared" si="3"/>
        <v>0</v>
      </c>
      <c r="AC12" s="581">
        <f t="shared" si="4"/>
        <v>16820323.675627805</v>
      </c>
      <c r="AD12" s="392">
        <f t="shared" si="19"/>
        <v>918201.38909559697</v>
      </c>
      <c r="AE12" s="132">
        <f t="shared" si="5"/>
        <v>0.83786281657894435</v>
      </c>
      <c r="AF12" s="560">
        <f t="shared" si="6"/>
        <v>3254948.0070402808</v>
      </c>
      <c r="AG12" s="564">
        <f>AF12/ITA!B10*1000</f>
        <v>103.3412393673193</v>
      </c>
    </row>
    <row r="13" spans="1:33" x14ac:dyDescent="0.25">
      <c r="A13" s="123" t="s">
        <v>10</v>
      </c>
      <c r="B13" s="47">
        <v>2744.29</v>
      </c>
      <c r="C13" s="73">
        <v>4.6719999999999999E-3</v>
      </c>
      <c r="D13" s="58">
        <f>'Total Inst. Cost'!G11</f>
        <v>16585854.022307459</v>
      </c>
      <c r="E13" s="58">
        <f>Facilities!J21</f>
        <v>3871458.191315644</v>
      </c>
      <c r="F13" s="58">
        <f>'District Services'!K20</f>
        <v>1229017.169348479</v>
      </c>
      <c r="G13" s="434">
        <f t="shared" si="7"/>
        <v>21686329.382971581</v>
      </c>
      <c r="H13" s="58">
        <f t="shared" si="8"/>
        <v>4001690.822649261</v>
      </c>
      <c r="I13" s="58">
        <f t="shared" si="9"/>
        <v>12584163.199658198</v>
      </c>
      <c r="J13" s="79">
        <f t="shared" si="10"/>
        <v>0.75872868425906126</v>
      </c>
      <c r="K13" s="58">
        <f t="shared" si="11"/>
        <v>939157.75848225038</v>
      </c>
      <c r="L13" s="58">
        <f t="shared" si="12"/>
        <v>2932300.4328333936</v>
      </c>
      <c r="M13" s="79">
        <f t="shared" si="0"/>
        <v>0.75741498110739125</v>
      </c>
      <c r="N13" s="58">
        <f t="shared" si="13"/>
        <v>1229017.169348479</v>
      </c>
      <c r="O13" s="58">
        <f t="shared" si="14"/>
        <v>0</v>
      </c>
      <c r="P13" s="79">
        <f t="shared" si="1"/>
        <v>0</v>
      </c>
      <c r="Q13" s="58">
        <f t="shared" si="15"/>
        <v>6169865.7504799906</v>
      </c>
      <c r="R13" s="58">
        <f t="shared" si="16"/>
        <v>15516463.632491592</v>
      </c>
      <c r="S13" s="79">
        <f t="shared" si="2"/>
        <v>0.71549515634837413</v>
      </c>
      <c r="T13" s="565">
        <f>Q13/ITA!B11*1000</f>
        <v>80.652168809890966</v>
      </c>
      <c r="U13" s="565"/>
      <c r="V13" s="464">
        <f>'FY 19 State Pmt'!BL12</f>
        <v>11346702.609999999</v>
      </c>
      <c r="W13" s="465">
        <f>'Prop Tax'!K11</f>
        <v>5828525.2217767099</v>
      </c>
      <c r="X13" s="535">
        <f t="shared" si="17"/>
        <v>17175227.831776708</v>
      </c>
      <c r="Y13" s="565"/>
      <c r="Z13" s="559">
        <f t="shared" si="18"/>
        <v>-1658764.199285116</v>
      </c>
      <c r="AA13" s="565"/>
      <c r="AB13" s="393">
        <f t="shared" si="3"/>
        <v>1658764.199285116</v>
      </c>
      <c r="AC13" s="582">
        <f t="shared" si="4"/>
        <v>17175227.831776708</v>
      </c>
      <c r="AD13" s="393">
        <f t="shared" si="19"/>
        <v>0</v>
      </c>
      <c r="AE13" s="79">
        <f t="shared" si="5"/>
        <v>0.79198408953720612</v>
      </c>
      <c r="AF13" s="559">
        <f t="shared" si="6"/>
        <v>4511101.5511948727</v>
      </c>
      <c r="AG13" s="565">
        <f>AF13/ITA!B11*1000</f>
        <v>58.968888228601308</v>
      </c>
    </row>
    <row r="14" spans="1:33" x14ac:dyDescent="0.25">
      <c r="A14" s="125" t="s">
        <v>11</v>
      </c>
      <c r="B14" s="126">
        <v>12671.61</v>
      </c>
      <c r="C14" s="127">
        <v>1.4161E-2</v>
      </c>
      <c r="D14" s="128">
        <f>'Total Inst. Cost'!G12</f>
        <v>75296150.81455341</v>
      </c>
      <c r="E14" s="128">
        <f>Facilities!J22</f>
        <v>17769006.748170268</v>
      </c>
      <c r="F14" s="128">
        <f>'District Services'!K21</f>
        <v>3457841.2403447316</v>
      </c>
      <c r="G14" s="433">
        <f t="shared" si="7"/>
        <v>96522998.803068414</v>
      </c>
      <c r="H14" s="128">
        <f t="shared" si="8"/>
        <v>12129268.779866477</v>
      </c>
      <c r="I14" s="128">
        <f t="shared" si="9"/>
        <v>63166882.03468693</v>
      </c>
      <c r="J14" s="132">
        <f t="shared" si="10"/>
        <v>0.83891249886412378</v>
      </c>
      <c r="K14" s="128">
        <f t="shared" si="11"/>
        <v>2846620.937043482</v>
      </c>
      <c r="L14" s="128">
        <f t="shared" si="12"/>
        <v>14922385.811126785</v>
      </c>
      <c r="M14" s="132">
        <f t="shared" si="0"/>
        <v>0.83979853362728851</v>
      </c>
      <c r="N14" s="128">
        <f t="shared" si="13"/>
        <v>3457841.2403447316</v>
      </c>
      <c r="O14" s="128">
        <f t="shared" si="14"/>
        <v>0</v>
      </c>
      <c r="P14" s="132">
        <f t="shared" si="1"/>
        <v>0</v>
      </c>
      <c r="Q14" s="128">
        <f t="shared" si="15"/>
        <v>18433730.957254693</v>
      </c>
      <c r="R14" s="128">
        <f t="shared" si="16"/>
        <v>78089267.845813721</v>
      </c>
      <c r="S14" s="132">
        <f t="shared" si="2"/>
        <v>0.80902239688113897</v>
      </c>
      <c r="T14" s="564">
        <f>Q14/ITA!B12*1000</f>
        <v>79.506969187989014</v>
      </c>
      <c r="U14" s="564"/>
      <c r="V14" s="462">
        <f>'FY 19 State Pmt'!BL13</f>
        <v>56319472.889999993</v>
      </c>
      <c r="W14" s="463">
        <f>'Prop Tax'!K12</f>
        <v>19633766.877142113</v>
      </c>
      <c r="X14" s="533">
        <f t="shared" si="17"/>
        <v>75953239.767142102</v>
      </c>
      <c r="Y14" s="564"/>
      <c r="Z14" s="560">
        <f t="shared" si="18"/>
        <v>2136028.0786716193</v>
      </c>
      <c r="AA14" s="564"/>
      <c r="AB14" s="392">
        <f t="shared" si="3"/>
        <v>0</v>
      </c>
      <c r="AC14" s="581">
        <f t="shared" si="4"/>
        <v>78089267.845813721</v>
      </c>
      <c r="AD14" s="392">
        <f t="shared" si="19"/>
        <v>2136028.0786716193</v>
      </c>
      <c r="AE14" s="132">
        <f t="shared" si="5"/>
        <v>0.80902239688113897</v>
      </c>
      <c r="AF14" s="560">
        <f t="shared" si="6"/>
        <v>18433730.957254693</v>
      </c>
      <c r="AG14" s="564">
        <f>AF14/ITA!B12*1000</f>
        <v>79.506969187989014</v>
      </c>
    </row>
    <row r="15" spans="1:33" x14ac:dyDescent="0.25">
      <c r="A15" s="123" t="s">
        <v>12</v>
      </c>
      <c r="B15" s="47">
        <v>1256.76</v>
      </c>
      <c r="C15" s="73">
        <v>7.9900000000000001E-4</v>
      </c>
      <c r="D15" s="136">
        <f>'Total Inst. Cost'!G13</f>
        <v>7686152.0506446445</v>
      </c>
      <c r="E15" s="136">
        <f>Facilities!J23</f>
        <v>1802817.515304361</v>
      </c>
      <c r="F15" s="136">
        <f>'District Services'!K22</f>
        <v>1166864.6720927164</v>
      </c>
      <c r="G15" s="432">
        <f t="shared" si="7"/>
        <v>10655834.238041723</v>
      </c>
      <c r="H15" s="136">
        <f t="shared" si="8"/>
        <v>684364.50498646393</v>
      </c>
      <c r="I15" s="136">
        <f t="shared" si="9"/>
        <v>7001787.5456581805</v>
      </c>
      <c r="J15" s="79">
        <f t="shared" si="10"/>
        <v>0.91096136265882666</v>
      </c>
      <c r="K15" s="136">
        <f t="shared" si="11"/>
        <v>160613.66631577871</v>
      </c>
      <c r="L15" s="136">
        <f t="shared" si="12"/>
        <v>1642203.8489885824</v>
      </c>
      <c r="M15" s="79">
        <f t="shared" si="0"/>
        <v>0.91090963730255137</v>
      </c>
      <c r="N15" s="136">
        <f t="shared" si="13"/>
        <v>1166864.6720927164</v>
      </c>
      <c r="O15" s="136">
        <f t="shared" si="14"/>
        <v>0</v>
      </c>
      <c r="P15" s="79">
        <f t="shared" si="1"/>
        <v>0</v>
      </c>
      <c r="Q15" s="136">
        <f t="shared" si="15"/>
        <v>2011842.8433949591</v>
      </c>
      <c r="R15" s="136">
        <f t="shared" si="16"/>
        <v>8643991.3946467638</v>
      </c>
      <c r="S15" s="79">
        <f t="shared" si="2"/>
        <v>0.81119799741135179</v>
      </c>
      <c r="T15" s="565">
        <f>Q15/ITA!B13*1000</f>
        <v>153.77440506325416</v>
      </c>
      <c r="U15" s="565"/>
      <c r="V15" s="464">
        <f>'FY 19 State Pmt'!BL14</f>
        <v>6659539.7800000021</v>
      </c>
      <c r="W15" s="465">
        <f>'Prop Tax'!K13</f>
        <v>2576980.9675364122</v>
      </c>
      <c r="X15" s="535">
        <f t="shared" si="17"/>
        <v>9236520.7475364134</v>
      </c>
      <c r="Y15" s="565"/>
      <c r="Z15" s="559">
        <f t="shared" si="18"/>
        <v>-592529.35288964957</v>
      </c>
      <c r="AA15" s="565"/>
      <c r="AB15" s="393">
        <f t="shared" si="3"/>
        <v>592529.35288964957</v>
      </c>
      <c r="AC15" s="582">
        <f t="shared" si="4"/>
        <v>9236520.7475364134</v>
      </c>
      <c r="AD15" s="393">
        <f t="shared" si="19"/>
        <v>0</v>
      </c>
      <c r="AE15" s="79">
        <f t="shared" si="5"/>
        <v>0.86680409447077278</v>
      </c>
      <c r="AF15" s="559">
        <f t="shared" si="6"/>
        <v>1419313.4905053098</v>
      </c>
      <c r="AG15" s="565">
        <f>AF15/ITA!B13*1000</f>
        <v>108.48466037854311</v>
      </c>
    </row>
    <row r="16" spans="1:33" x14ac:dyDescent="0.25">
      <c r="A16" s="125" t="s">
        <v>13</v>
      </c>
      <c r="B16" s="126">
        <v>638.25</v>
      </c>
      <c r="C16" s="127">
        <v>6.1200000000000002E-4</v>
      </c>
      <c r="D16" s="128">
        <f>'Total Inst. Cost'!G14</f>
        <v>4244941.7549113333</v>
      </c>
      <c r="E16" s="128">
        <f>Facilities!J24</f>
        <v>980612.75196510064</v>
      </c>
      <c r="F16" s="128">
        <f>'District Services'!K23</f>
        <v>1142640.1561674955</v>
      </c>
      <c r="G16" s="433">
        <f t="shared" si="7"/>
        <v>6368194.6630439293</v>
      </c>
      <c r="H16" s="128">
        <f t="shared" si="8"/>
        <v>524194.08892580215</v>
      </c>
      <c r="I16" s="128">
        <f t="shared" si="9"/>
        <v>3720747.6659855312</v>
      </c>
      <c r="J16" s="132">
        <f t="shared" si="10"/>
        <v>0.87651324348106363</v>
      </c>
      <c r="K16" s="128">
        <f t="shared" si="11"/>
        <v>123023.23377378794</v>
      </c>
      <c r="L16" s="128">
        <f t="shared" si="12"/>
        <v>857589.51819131267</v>
      </c>
      <c r="M16" s="132">
        <f t="shared" si="0"/>
        <v>0.87454452991024711</v>
      </c>
      <c r="N16" s="128">
        <f t="shared" si="13"/>
        <v>1142640.1561674955</v>
      </c>
      <c r="O16" s="128">
        <f t="shared" si="14"/>
        <v>0</v>
      </c>
      <c r="P16" s="132">
        <f t="shared" si="1"/>
        <v>0</v>
      </c>
      <c r="Q16" s="128">
        <f t="shared" si="15"/>
        <v>1789857.4788670857</v>
      </c>
      <c r="R16" s="128">
        <f t="shared" si="16"/>
        <v>4578337.1841768436</v>
      </c>
      <c r="S16" s="132">
        <f t="shared" si="2"/>
        <v>0.7189380077757308</v>
      </c>
      <c r="T16" s="564">
        <f>Q16/ITA!B14*1000</f>
        <v>178.489368951654</v>
      </c>
      <c r="U16" s="564"/>
      <c r="V16" s="462">
        <f>'FY 19 State Pmt'!BL15</f>
        <v>3543822.72</v>
      </c>
      <c r="W16" s="463">
        <f>'Prop Tax'!K14</f>
        <v>1584188.5561002514</v>
      </c>
      <c r="X16" s="533">
        <f t="shared" si="17"/>
        <v>5128011.2761002518</v>
      </c>
      <c r="Y16" s="564"/>
      <c r="Z16" s="560">
        <f t="shared" si="18"/>
        <v>-549674.09192340821</v>
      </c>
      <c r="AA16" s="564"/>
      <c r="AB16" s="392">
        <f t="shared" si="3"/>
        <v>549674.09192340821</v>
      </c>
      <c r="AC16" s="581">
        <f t="shared" si="4"/>
        <v>5128011.2761002518</v>
      </c>
      <c r="AD16" s="392">
        <f t="shared" si="19"/>
        <v>0</v>
      </c>
      <c r="AE16" s="132">
        <f t="shared" si="5"/>
        <v>0.80525353690257906</v>
      </c>
      <c r="AF16" s="560">
        <f t="shared" si="6"/>
        <v>1240183.3869436774</v>
      </c>
      <c r="AG16" s="564">
        <f>AF16/ITA!B14*1000</f>
        <v>123.67440018744645</v>
      </c>
    </row>
    <row r="17" spans="1:33" x14ac:dyDescent="0.25">
      <c r="A17" s="123" t="s">
        <v>14</v>
      </c>
      <c r="B17" s="47">
        <v>587.14</v>
      </c>
      <c r="C17" s="73">
        <v>4.7600000000000002E-4</v>
      </c>
      <c r="D17" s="58">
        <f>'Total Inst. Cost'!G15</f>
        <v>3857935.0405306006</v>
      </c>
      <c r="E17" s="58">
        <f>Facilities!J25</f>
        <v>884186.53300260997</v>
      </c>
      <c r="F17" s="58">
        <f>'District Services'!K24</f>
        <v>1139423.0827173365</v>
      </c>
      <c r="G17" s="434">
        <f t="shared" si="7"/>
        <v>5881544.6562505476</v>
      </c>
      <c r="H17" s="58">
        <f t="shared" si="8"/>
        <v>407706.51360895723</v>
      </c>
      <c r="I17" s="58">
        <f t="shared" si="9"/>
        <v>3450228.5269216434</v>
      </c>
      <c r="J17" s="79">
        <f t="shared" si="10"/>
        <v>0.89432001593451316</v>
      </c>
      <c r="K17" s="58">
        <f t="shared" si="11"/>
        <v>95684.737379612852</v>
      </c>
      <c r="L17" s="58">
        <f t="shared" si="12"/>
        <v>788501.7956229971</v>
      </c>
      <c r="M17" s="79">
        <f t="shared" si="0"/>
        <v>0.8917821819173416</v>
      </c>
      <c r="N17" s="58">
        <f t="shared" si="13"/>
        <v>1139423.0827173365</v>
      </c>
      <c r="O17" s="58">
        <f t="shared" si="14"/>
        <v>0</v>
      </c>
      <c r="P17" s="79">
        <f t="shared" si="1"/>
        <v>0</v>
      </c>
      <c r="Q17" s="58">
        <f t="shared" si="15"/>
        <v>1642814.3337059065</v>
      </c>
      <c r="R17" s="58">
        <f t="shared" si="16"/>
        <v>4238730.3225446409</v>
      </c>
      <c r="S17" s="79">
        <f t="shared" si="2"/>
        <v>0.72068318278260057</v>
      </c>
      <c r="T17" s="565">
        <f>Q17/ITA!B15*1000</f>
        <v>210.69247730098294</v>
      </c>
      <c r="U17" s="565"/>
      <c r="V17" s="464">
        <f>'FY 19 State Pmt'!BL16</f>
        <v>3216262.62</v>
      </c>
      <c r="W17" s="465">
        <f>'Prop Tax'!K15</f>
        <v>753068.87708475871</v>
      </c>
      <c r="X17" s="535">
        <f t="shared" si="17"/>
        <v>3969331.4970847587</v>
      </c>
      <c r="Y17" s="565"/>
      <c r="Z17" s="559">
        <f t="shared" si="18"/>
        <v>269398.82545988215</v>
      </c>
      <c r="AA17" s="565"/>
      <c r="AB17" s="393">
        <f t="shared" si="3"/>
        <v>0</v>
      </c>
      <c r="AC17" s="582">
        <f t="shared" si="4"/>
        <v>4238730.3225446409</v>
      </c>
      <c r="AD17" s="393">
        <f t="shared" si="19"/>
        <v>269398.82545988215</v>
      </c>
      <c r="AE17" s="79">
        <f t="shared" si="5"/>
        <v>0.72068318278260057</v>
      </c>
      <c r="AF17" s="559">
        <f t="shared" si="6"/>
        <v>1642814.3337059068</v>
      </c>
      <c r="AG17" s="565">
        <f>AF17/ITA!B15*1000</f>
        <v>210.69247730098297</v>
      </c>
    </row>
    <row r="18" spans="1:33" x14ac:dyDescent="0.25">
      <c r="A18" s="125" t="s">
        <v>15</v>
      </c>
      <c r="B18" s="126">
        <v>822.79</v>
      </c>
      <c r="C18" s="127">
        <v>6.9099999999999999E-4</v>
      </c>
      <c r="D18" s="128">
        <f>'Total Inst. Cost'!G16</f>
        <v>5137142.9014278771</v>
      </c>
      <c r="E18" s="128">
        <f>Facilities!J26</f>
        <v>1190713.3936763052</v>
      </c>
      <c r="F18" s="128">
        <f>'District Services'!K25</f>
        <v>1148365.3868798784</v>
      </c>
      <c r="G18" s="433">
        <f t="shared" si="7"/>
        <v>7476221.6819840604</v>
      </c>
      <c r="H18" s="128">
        <f t="shared" si="8"/>
        <v>591859.66576426348</v>
      </c>
      <c r="I18" s="128">
        <f t="shared" si="9"/>
        <v>4545283.2356636133</v>
      </c>
      <c r="J18" s="132">
        <f t="shared" si="10"/>
        <v>0.88478816394230431</v>
      </c>
      <c r="K18" s="128">
        <f t="shared" si="11"/>
        <v>138903.68388511025</v>
      </c>
      <c r="L18" s="128">
        <f t="shared" si="12"/>
        <v>1051809.7097911949</v>
      </c>
      <c r="M18" s="132">
        <f t="shared" si="0"/>
        <v>0.8833441492950308</v>
      </c>
      <c r="N18" s="128">
        <f t="shared" si="13"/>
        <v>1148365.3868798784</v>
      </c>
      <c r="O18" s="128">
        <f t="shared" si="14"/>
        <v>0</v>
      </c>
      <c r="P18" s="132">
        <f t="shared" si="1"/>
        <v>0</v>
      </c>
      <c r="Q18" s="128">
        <f t="shared" si="15"/>
        <v>1879128.736529252</v>
      </c>
      <c r="R18" s="128">
        <f t="shared" si="16"/>
        <v>5597092.945454808</v>
      </c>
      <c r="S18" s="132">
        <f t="shared" si="2"/>
        <v>0.74865261940299177</v>
      </c>
      <c r="T18" s="564">
        <f>Q18/ITA!B16*1000</f>
        <v>166.16305965696284</v>
      </c>
      <c r="U18" s="564"/>
      <c r="V18" s="462">
        <f>'FY 19 State Pmt'!BL17</f>
        <v>4452688.8899999997</v>
      </c>
      <c r="W18" s="463">
        <f>'Prop Tax'!K16</f>
        <v>1191271.1258911302</v>
      </c>
      <c r="X18" s="533">
        <f t="shared" si="17"/>
        <v>5643960.0158911301</v>
      </c>
      <c r="Y18" s="564"/>
      <c r="Z18" s="560">
        <f t="shared" si="18"/>
        <v>-46867.07043632213</v>
      </c>
      <c r="AA18" s="564"/>
      <c r="AB18" s="392">
        <f t="shared" si="3"/>
        <v>46867.07043632213</v>
      </c>
      <c r="AC18" s="581">
        <f t="shared" si="4"/>
        <v>5643960.0158911301</v>
      </c>
      <c r="AD18" s="392">
        <f t="shared" si="19"/>
        <v>0</v>
      </c>
      <c r="AE18" s="132">
        <f t="shared" si="5"/>
        <v>0.75492143705312387</v>
      </c>
      <c r="AF18" s="560">
        <f t="shared" si="6"/>
        <v>1832261.6660929304</v>
      </c>
      <c r="AG18" s="564">
        <f>AF18/ITA!B16*1000</f>
        <v>162.01881149052736</v>
      </c>
    </row>
    <row r="19" spans="1:33" x14ac:dyDescent="0.25">
      <c r="A19" s="123" t="s">
        <v>16</v>
      </c>
      <c r="B19" s="47">
        <v>2117.3200000000002</v>
      </c>
      <c r="C19" s="73">
        <v>1.382E-3</v>
      </c>
      <c r="D19" s="136">
        <f>'Total Inst. Cost'!G17</f>
        <v>13252957.664817503</v>
      </c>
      <c r="E19" s="136">
        <f>Facilities!J27</f>
        <v>3080651.8666226477</v>
      </c>
      <c r="F19" s="136">
        <f>'District Services'!K26</f>
        <v>1206280.78467423</v>
      </c>
      <c r="G19" s="432">
        <f t="shared" si="7"/>
        <v>17539890.316114381</v>
      </c>
      <c r="H19" s="136">
        <f t="shared" si="8"/>
        <v>1183719.331528527</v>
      </c>
      <c r="I19" s="136">
        <f t="shared" si="9"/>
        <v>12069238.333288975</v>
      </c>
      <c r="J19" s="79">
        <f t="shared" si="10"/>
        <v>0.91068262938235023</v>
      </c>
      <c r="K19" s="136">
        <f t="shared" si="11"/>
        <v>277807.3677702205</v>
      </c>
      <c r="L19" s="136">
        <f t="shared" si="12"/>
        <v>2802844.4988524271</v>
      </c>
      <c r="M19" s="79">
        <f t="shared" si="0"/>
        <v>0.90982188841909495</v>
      </c>
      <c r="N19" s="136">
        <f t="shared" si="13"/>
        <v>1206280.78467423</v>
      </c>
      <c r="O19" s="136">
        <f t="shared" si="14"/>
        <v>0</v>
      </c>
      <c r="P19" s="79">
        <f t="shared" si="1"/>
        <v>0</v>
      </c>
      <c r="Q19" s="136">
        <f t="shared" si="15"/>
        <v>2667807.4839729774</v>
      </c>
      <c r="R19" s="136">
        <f t="shared" si="16"/>
        <v>14872082.832141403</v>
      </c>
      <c r="S19" s="79">
        <f t="shared" si="2"/>
        <v>0.8479005606139971</v>
      </c>
      <c r="T19" s="565">
        <f>Q19/ITA!B17*1000</f>
        <v>117.90757138234096</v>
      </c>
      <c r="U19" s="565"/>
      <c r="V19" s="464">
        <f>'FY 19 State Pmt'!BL18</f>
        <v>11164347.09</v>
      </c>
      <c r="W19" s="465">
        <f>'Prop Tax'!K17</f>
        <v>2508104.3512225533</v>
      </c>
      <c r="X19" s="535">
        <f t="shared" si="17"/>
        <v>13672451.441222552</v>
      </c>
      <c r="Y19" s="565"/>
      <c r="Z19" s="559">
        <f t="shared" si="18"/>
        <v>1199631.3909188509</v>
      </c>
      <c r="AA19" s="565"/>
      <c r="AB19" s="393">
        <f t="shared" si="3"/>
        <v>0</v>
      </c>
      <c r="AC19" s="582">
        <f t="shared" si="4"/>
        <v>14872082.832141403</v>
      </c>
      <c r="AD19" s="393">
        <f t="shared" si="19"/>
        <v>1199631.3909188509</v>
      </c>
      <c r="AE19" s="79">
        <f t="shared" si="5"/>
        <v>0.8479005606139971</v>
      </c>
      <c r="AF19" s="559">
        <f t="shared" si="6"/>
        <v>2667807.4839729778</v>
      </c>
      <c r="AG19" s="565">
        <f>AF19/ITA!B17*1000</f>
        <v>117.90757138234098</v>
      </c>
    </row>
    <row r="20" spans="1:33" x14ac:dyDescent="0.25">
      <c r="A20" s="125" t="s">
        <v>17</v>
      </c>
      <c r="B20" s="126">
        <v>21287.25</v>
      </c>
      <c r="C20" s="127">
        <v>7.7119999999999994E-2</v>
      </c>
      <c r="D20" s="128">
        <f>'Total Inst. Cost'!G18</f>
        <v>123173614.89842042</v>
      </c>
      <c r="E20" s="128">
        <f>Facilities!J28</f>
        <v>28771726.305254482</v>
      </c>
      <c r="F20" s="128">
        <f>'District Services'!K27</f>
        <v>4077752.1450276757</v>
      </c>
      <c r="G20" s="433">
        <f t="shared" si="7"/>
        <v>156023093.34870258</v>
      </c>
      <c r="H20" s="128">
        <f t="shared" si="8"/>
        <v>66055307.414963819</v>
      </c>
      <c r="I20" s="128">
        <f t="shared" si="9"/>
        <v>57118307.483456604</v>
      </c>
      <c r="J20" s="132">
        <f t="shared" si="10"/>
        <v>0.46372193858693911</v>
      </c>
      <c r="K20" s="128">
        <f t="shared" si="11"/>
        <v>15502535.602343995</v>
      </c>
      <c r="L20" s="128">
        <f t="shared" si="12"/>
        <v>13269190.702910487</v>
      </c>
      <c r="M20" s="132">
        <f t="shared" si="0"/>
        <v>0.46118854885975957</v>
      </c>
      <c r="N20" s="128">
        <f t="shared" si="13"/>
        <v>4077752.1450276757</v>
      </c>
      <c r="O20" s="128">
        <f t="shared" si="14"/>
        <v>0</v>
      </c>
      <c r="P20" s="132">
        <f t="shared" si="1"/>
        <v>0</v>
      </c>
      <c r="Q20" s="128">
        <f t="shared" si="15"/>
        <v>85635595.1623355</v>
      </c>
      <c r="R20" s="128">
        <f t="shared" si="16"/>
        <v>70387498.186367095</v>
      </c>
      <c r="S20" s="132">
        <f t="shared" si="2"/>
        <v>0.45113512798426009</v>
      </c>
      <c r="T20" s="564">
        <f>Q20/ITA!B18*1000</f>
        <v>67.821152104569009</v>
      </c>
      <c r="U20" s="564"/>
      <c r="V20" s="462">
        <f>'FY 19 State Pmt'!BL19</f>
        <v>38788642.430000007</v>
      </c>
      <c r="W20" s="463">
        <f>'Prop Tax'!K18</f>
        <v>55812655.439504087</v>
      </c>
      <c r="X20" s="533">
        <f t="shared" si="17"/>
        <v>94601297.869504094</v>
      </c>
      <c r="Y20" s="564"/>
      <c r="Z20" s="560">
        <f t="shared" si="18"/>
        <v>-24213799.683137</v>
      </c>
      <c r="AA20" s="564"/>
      <c r="AB20" s="392">
        <f t="shared" si="3"/>
        <v>24213799.683137</v>
      </c>
      <c r="AC20" s="581">
        <f t="shared" si="4"/>
        <v>94601297.869504094</v>
      </c>
      <c r="AD20" s="392">
        <f t="shared" si="19"/>
        <v>0</v>
      </c>
      <c r="AE20" s="132">
        <f t="shared" si="5"/>
        <v>0.60632881863248067</v>
      </c>
      <c r="AF20" s="560">
        <f t="shared" si="6"/>
        <v>61421795.479198486</v>
      </c>
      <c r="AG20" s="564">
        <f>AF20/ITA!B18*1000</f>
        <v>48.644455916184477</v>
      </c>
    </row>
    <row r="21" spans="1:33" x14ac:dyDescent="0.25">
      <c r="A21" s="123" t="s">
        <v>18</v>
      </c>
      <c r="B21" s="47">
        <v>34520.18</v>
      </c>
      <c r="C21" s="73">
        <v>3.9898000000000003E-2</v>
      </c>
      <c r="D21" s="58">
        <f>'Total Inst. Cost'!G19</f>
        <v>200496627.66509283</v>
      </c>
      <c r="E21" s="58">
        <f>Facilities!J29</f>
        <v>47308072.134319797</v>
      </c>
      <c r="F21" s="58">
        <f>'District Services'!K28</f>
        <v>4636368.3950841073</v>
      </c>
      <c r="G21" s="434">
        <f t="shared" si="7"/>
        <v>252441068.19449672</v>
      </c>
      <c r="H21" s="58">
        <f t="shared" si="8"/>
        <v>34173685.882290289</v>
      </c>
      <c r="I21" s="58">
        <f t="shared" si="9"/>
        <v>166322941.78280252</v>
      </c>
      <c r="J21" s="79">
        <f t="shared" si="10"/>
        <v>0.82955480957328809</v>
      </c>
      <c r="K21" s="58">
        <f t="shared" si="11"/>
        <v>8020230.3612852804</v>
      </c>
      <c r="L21" s="58">
        <f t="shared" si="12"/>
        <v>39287841.773034513</v>
      </c>
      <c r="M21" s="79">
        <f t="shared" si="0"/>
        <v>0.83046803643754952</v>
      </c>
      <c r="N21" s="58">
        <f t="shared" si="13"/>
        <v>4636368.3950841073</v>
      </c>
      <c r="O21" s="58">
        <f t="shared" si="14"/>
        <v>0</v>
      </c>
      <c r="P21" s="79">
        <f t="shared" si="1"/>
        <v>0</v>
      </c>
      <c r="Q21" s="58">
        <f t="shared" si="15"/>
        <v>46830284.638659678</v>
      </c>
      <c r="R21" s="58">
        <f t="shared" si="16"/>
        <v>205610783.55583704</v>
      </c>
      <c r="S21" s="79">
        <f t="shared" si="2"/>
        <v>0.81449022944801264</v>
      </c>
      <c r="T21" s="565">
        <f>Q21/ITA!B19*1000</f>
        <v>71.689767295143355</v>
      </c>
      <c r="U21" s="565"/>
      <c r="V21" s="464">
        <f>'FY 19 State Pmt'!BL20</f>
        <v>148881261.52000007</v>
      </c>
      <c r="W21" s="465">
        <f>'Prop Tax'!K19</f>
        <v>43082549.763775848</v>
      </c>
      <c r="X21" s="535">
        <f t="shared" si="17"/>
        <v>191963811.28377593</v>
      </c>
      <c r="Y21" s="565"/>
      <c r="Z21" s="559">
        <f t="shared" si="18"/>
        <v>13646972.27206111</v>
      </c>
      <c r="AA21" s="565"/>
      <c r="AB21" s="393">
        <f t="shared" si="3"/>
        <v>0</v>
      </c>
      <c r="AC21" s="582">
        <f t="shared" si="4"/>
        <v>205610783.55583704</v>
      </c>
      <c r="AD21" s="393">
        <f t="shared" si="19"/>
        <v>13646972.27206111</v>
      </c>
      <c r="AE21" s="79">
        <f t="shared" si="5"/>
        <v>0.81449022944801264</v>
      </c>
      <c r="AF21" s="559">
        <f t="shared" si="6"/>
        <v>46830284.638659686</v>
      </c>
      <c r="AG21" s="565">
        <f>AF21/ITA!B19*1000</f>
        <v>71.689767295143369</v>
      </c>
    </row>
    <row r="22" spans="1:33" x14ac:dyDescent="0.25">
      <c r="A22" s="125" t="s">
        <v>19</v>
      </c>
      <c r="B22" s="126">
        <v>1587.18</v>
      </c>
      <c r="C22" s="127">
        <v>4.0350000000000004E-3</v>
      </c>
      <c r="D22" s="128">
        <f>'Total Inst. Cost'!G20</f>
        <v>9974057.7382178698</v>
      </c>
      <c r="E22" s="128">
        <f>Facilities!J30</f>
        <v>2320737.9786725938</v>
      </c>
      <c r="F22" s="128">
        <f>'District Services'!K29</f>
        <v>1183162.9587093696</v>
      </c>
      <c r="G22" s="433">
        <f t="shared" si="7"/>
        <v>13477958.675599834</v>
      </c>
      <c r="H22" s="128">
        <f t="shared" si="8"/>
        <v>3456083.5764960977</v>
      </c>
      <c r="I22" s="128">
        <f t="shared" si="9"/>
        <v>6517974.1617217716</v>
      </c>
      <c r="J22" s="132">
        <f t="shared" si="10"/>
        <v>0.65349272410432035</v>
      </c>
      <c r="K22" s="128">
        <f t="shared" si="11"/>
        <v>811109.06581247447</v>
      </c>
      <c r="L22" s="128">
        <f t="shared" si="12"/>
        <v>1509628.9128601192</v>
      </c>
      <c r="M22" s="132">
        <f t="shared" si="0"/>
        <v>0.65049519882619</v>
      </c>
      <c r="N22" s="128">
        <f t="shared" si="13"/>
        <v>1183162.9587093696</v>
      </c>
      <c r="O22" s="128">
        <f t="shared" si="14"/>
        <v>0</v>
      </c>
      <c r="P22" s="132">
        <f t="shared" si="1"/>
        <v>0</v>
      </c>
      <c r="Q22" s="128">
        <f t="shared" si="15"/>
        <v>5450355.6010179417</v>
      </c>
      <c r="R22" s="128">
        <f t="shared" si="16"/>
        <v>8027603.0745818913</v>
      </c>
      <c r="S22" s="132">
        <f t="shared" si="2"/>
        <v>0.59560971121798045</v>
      </c>
      <c r="T22" s="564">
        <f>Q22/ITA!B20*1000</f>
        <v>82.496695103131657</v>
      </c>
      <c r="U22" s="564"/>
      <c r="V22" s="462">
        <f>'FY 19 State Pmt'!BL21</f>
        <v>5572057.169999999</v>
      </c>
      <c r="W22" s="463">
        <f>'Prop Tax'!K20</f>
        <v>4167273.6631478528</v>
      </c>
      <c r="X22" s="533">
        <f t="shared" si="17"/>
        <v>9739330.8331478518</v>
      </c>
      <c r="Y22" s="564"/>
      <c r="Z22" s="560">
        <f t="shared" si="18"/>
        <v>-1711727.7585659605</v>
      </c>
      <c r="AA22" s="564"/>
      <c r="AB22" s="392">
        <f t="shared" si="3"/>
        <v>1711727.7585659605</v>
      </c>
      <c r="AC22" s="581">
        <f t="shared" si="4"/>
        <v>9739330.8331478518</v>
      </c>
      <c r="AD22" s="392">
        <f t="shared" si="19"/>
        <v>0</v>
      </c>
      <c r="AE22" s="132">
        <f t="shared" si="5"/>
        <v>0.72261171499061627</v>
      </c>
      <c r="AF22" s="560">
        <f t="shared" si="6"/>
        <v>3738627.8424519822</v>
      </c>
      <c r="AG22" s="564">
        <f>AF22/ITA!B20*1000</f>
        <v>56.587948346936635</v>
      </c>
    </row>
    <row r="23" spans="1:33" x14ac:dyDescent="0.25">
      <c r="A23" s="123" t="s">
        <v>20</v>
      </c>
      <c r="B23" s="47">
        <v>46485.36</v>
      </c>
      <c r="C23" s="73">
        <v>0.14230499999999999</v>
      </c>
      <c r="D23" s="136">
        <f>'Total Inst. Cost'!G21</f>
        <v>263670291.25483599</v>
      </c>
      <c r="E23" s="136">
        <f>Facilities!J31</f>
        <v>62450010.15781197</v>
      </c>
      <c r="F23" s="136">
        <f>'District Services'!K30</f>
        <v>5072409.4899968803</v>
      </c>
      <c r="G23" s="432">
        <f t="shared" si="7"/>
        <v>331192710.90264487</v>
      </c>
      <c r="H23" s="136">
        <f t="shared" si="8"/>
        <v>121887973.56958541</v>
      </c>
      <c r="I23" s="136">
        <f t="shared" si="9"/>
        <v>141782317.68525058</v>
      </c>
      <c r="J23" s="79">
        <f t="shared" si="10"/>
        <v>0.53772579766379025</v>
      </c>
      <c r="K23" s="136">
        <f t="shared" si="11"/>
        <v>28605917.127743285</v>
      </c>
      <c r="L23" s="136">
        <f t="shared" si="12"/>
        <v>33844093.030068681</v>
      </c>
      <c r="M23" s="79">
        <f t="shared" si="0"/>
        <v>0.5419389515637264</v>
      </c>
      <c r="N23" s="136">
        <f t="shared" si="13"/>
        <v>5072409.4899968803</v>
      </c>
      <c r="O23" s="136">
        <f t="shared" si="14"/>
        <v>0</v>
      </c>
      <c r="P23" s="79">
        <f t="shared" si="1"/>
        <v>0</v>
      </c>
      <c r="Q23" s="136">
        <f t="shared" si="15"/>
        <v>155566300.18732557</v>
      </c>
      <c r="R23" s="136">
        <f t="shared" si="16"/>
        <v>175626410.71531928</v>
      </c>
      <c r="S23" s="79">
        <f t="shared" si="2"/>
        <v>0.53028464979395395</v>
      </c>
      <c r="T23" s="565">
        <f>Q23/ITA!B21*1000</f>
        <v>66.769015376307067</v>
      </c>
      <c r="U23" s="565"/>
      <c r="V23" s="464">
        <f>'FY 19 State Pmt'!BL22</f>
        <v>108460893.19000001</v>
      </c>
      <c r="W23" s="465">
        <f>'Prop Tax'!K21</f>
        <v>97634163.722700834</v>
      </c>
      <c r="X23" s="535">
        <f t="shared" si="17"/>
        <v>206095056.91270083</v>
      </c>
      <c r="Y23" s="565"/>
      <c r="Z23" s="559">
        <f t="shared" si="18"/>
        <v>-30468646.197381556</v>
      </c>
      <c r="AA23" s="565"/>
      <c r="AB23" s="393">
        <f t="shared" si="3"/>
        <v>30468646.197381556</v>
      </c>
      <c r="AC23" s="582">
        <f t="shared" si="4"/>
        <v>206095056.91270083</v>
      </c>
      <c r="AD23" s="393">
        <f t="shared" si="19"/>
        <v>0</v>
      </c>
      <c r="AE23" s="79">
        <f t="shared" si="5"/>
        <v>0.62228137917347803</v>
      </c>
      <c r="AF23" s="559">
        <f t="shared" si="6"/>
        <v>125097653.98994404</v>
      </c>
      <c r="AG23" s="565">
        <f>AF23/ITA!B21*1000</f>
        <v>53.691880392711361</v>
      </c>
    </row>
    <row r="24" spans="1:33" x14ac:dyDescent="0.25">
      <c r="A24" s="125" t="s">
        <v>21</v>
      </c>
      <c r="B24" s="126">
        <v>8259.2199999999993</v>
      </c>
      <c r="C24" s="127">
        <v>9.2499999999999995E-3</v>
      </c>
      <c r="D24" s="128">
        <f>'Total Inst. Cost'!G22</f>
        <v>49882694.83583156</v>
      </c>
      <c r="E24" s="128">
        <f>Facilities!J32</f>
        <v>11686552.268931784</v>
      </c>
      <c r="F24" s="128">
        <f>'District Services'!K31</f>
        <v>2219873.6794466879</v>
      </c>
      <c r="G24" s="433">
        <f t="shared" si="7"/>
        <v>63789120.784210034</v>
      </c>
      <c r="H24" s="128">
        <f t="shared" si="8"/>
        <v>7922868.174123643</v>
      </c>
      <c r="I24" s="128">
        <f t="shared" si="9"/>
        <v>41959826.661707915</v>
      </c>
      <c r="J24" s="132">
        <f t="shared" si="10"/>
        <v>0.84117000494463023</v>
      </c>
      <c r="K24" s="128">
        <f t="shared" si="11"/>
        <v>1859419.7915155855</v>
      </c>
      <c r="L24" s="128">
        <f t="shared" si="12"/>
        <v>9827132.4774161987</v>
      </c>
      <c r="M24" s="132">
        <f t="shared" si="0"/>
        <v>0.84089235655422723</v>
      </c>
      <c r="N24" s="128">
        <f t="shared" si="13"/>
        <v>2219873.6794466879</v>
      </c>
      <c r="O24" s="128">
        <f t="shared" si="14"/>
        <v>0</v>
      </c>
      <c r="P24" s="132">
        <f t="shared" si="1"/>
        <v>0</v>
      </c>
      <c r="Q24" s="128">
        <f t="shared" si="15"/>
        <v>12002161.645085916</v>
      </c>
      <c r="R24" s="128">
        <f t="shared" si="16"/>
        <v>51786959.13912411</v>
      </c>
      <c r="S24" s="132">
        <f t="shared" si="2"/>
        <v>0.8118462600278249</v>
      </c>
      <c r="T24" s="564">
        <f>Q24/ITA!B22*1000</f>
        <v>79.249320591399538</v>
      </c>
      <c r="U24" s="564"/>
      <c r="V24" s="462">
        <f>'FY 19 State Pmt'!BL23</f>
        <v>38459639.490000002</v>
      </c>
      <c r="W24" s="463">
        <f>'Prop Tax'!K22</f>
        <v>12386165.844854526</v>
      </c>
      <c r="X24" s="533">
        <f t="shared" si="17"/>
        <v>50845805.334854528</v>
      </c>
      <c r="Y24" s="564"/>
      <c r="Z24" s="560">
        <f t="shared" si="18"/>
        <v>941153.80426958203</v>
      </c>
      <c r="AA24" s="564"/>
      <c r="AB24" s="392">
        <f t="shared" si="3"/>
        <v>0</v>
      </c>
      <c r="AC24" s="581">
        <f t="shared" si="4"/>
        <v>51786959.13912411</v>
      </c>
      <c r="AD24" s="392">
        <f t="shared" si="19"/>
        <v>941153.80426958203</v>
      </c>
      <c r="AE24" s="132">
        <f t="shared" si="5"/>
        <v>0.8118462600278249</v>
      </c>
      <c r="AF24" s="560">
        <f t="shared" si="6"/>
        <v>12002161.645085923</v>
      </c>
      <c r="AG24" s="564">
        <f>AF24/ITA!B22*1000</f>
        <v>79.249320591399595</v>
      </c>
    </row>
    <row r="25" spans="1:33" x14ac:dyDescent="0.25">
      <c r="A25" s="123" t="s">
        <v>22</v>
      </c>
      <c r="B25" s="47">
        <v>4970.04</v>
      </c>
      <c r="C25" s="73">
        <v>5.0070000000000002E-3</v>
      </c>
      <c r="D25" s="58">
        <f>'Total Inst. Cost'!G23</f>
        <v>30267058.135236464</v>
      </c>
      <c r="E25" s="58">
        <f>Facilities!J33</f>
        <v>7123112.5585139534</v>
      </c>
      <c r="F25" s="58">
        <f>'District Services'!K32</f>
        <v>1328687.3924386536</v>
      </c>
      <c r="G25" s="434">
        <f t="shared" si="7"/>
        <v>38718858.086189069</v>
      </c>
      <c r="H25" s="58">
        <f t="shared" si="8"/>
        <v>4288627.1294959011</v>
      </c>
      <c r="I25" s="58">
        <f t="shared" si="9"/>
        <v>25978431.005740564</v>
      </c>
      <c r="J25" s="79">
        <f t="shared" si="10"/>
        <v>0.85830710370549212</v>
      </c>
      <c r="K25" s="58">
        <f t="shared" si="11"/>
        <v>1006498.9076884906</v>
      </c>
      <c r="L25" s="58">
        <f t="shared" si="12"/>
        <v>6116613.6508254632</v>
      </c>
      <c r="M25" s="79">
        <f t="shared" si="0"/>
        <v>0.85869956435189776</v>
      </c>
      <c r="N25" s="58">
        <f t="shared" si="13"/>
        <v>1328687.3924386536</v>
      </c>
      <c r="O25" s="58">
        <f t="shared" si="14"/>
        <v>0</v>
      </c>
      <c r="P25" s="79">
        <f t="shared" si="1"/>
        <v>0</v>
      </c>
      <c r="Q25" s="58">
        <f t="shared" si="15"/>
        <v>6623813.429623045</v>
      </c>
      <c r="R25" s="58">
        <f t="shared" si="16"/>
        <v>32095044.656566028</v>
      </c>
      <c r="S25" s="79">
        <f t="shared" si="2"/>
        <v>0.82892539302480772</v>
      </c>
      <c r="T25" s="565">
        <f>Q25/ITA!B23*1000</f>
        <v>80.806362733913431</v>
      </c>
      <c r="U25" s="565"/>
      <c r="V25" s="464">
        <f>'FY 19 State Pmt'!BL24</f>
        <v>23875292.479999993</v>
      </c>
      <c r="W25" s="465">
        <f>'Prop Tax'!K23</f>
        <v>7437556.2248925511</v>
      </c>
      <c r="X25" s="535">
        <f t="shared" si="17"/>
        <v>31312848.704892546</v>
      </c>
      <c r="Y25" s="565"/>
      <c r="Z25" s="559">
        <f t="shared" si="18"/>
        <v>782195.95167348161</v>
      </c>
      <c r="AA25" s="565"/>
      <c r="AB25" s="393">
        <f t="shared" si="3"/>
        <v>0</v>
      </c>
      <c r="AC25" s="582">
        <f t="shared" si="4"/>
        <v>32095044.656566028</v>
      </c>
      <c r="AD25" s="393">
        <f t="shared" si="19"/>
        <v>782195.95167348161</v>
      </c>
      <c r="AE25" s="79">
        <f t="shared" si="5"/>
        <v>0.82892539302480772</v>
      </c>
      <c r="AF25" s="559">
        <f t="shared" si="6"/>
        <v>6623813.4296230413</v>
      </c>
      <c r="AG25" s="565">
        <f>AF25/ITA!B23*1000</f>
        <v>80.806362733913389</v>
      </c>
    </row>
    <row r="26" spans="1:33" x14ac:dyDescent="0.25">
      <c r="A26" s="125" t="s">
        <v>23</v>
      </c>
      <c r="B26" s="126">
        <v>6691.02</v>
      </c>
      <c r="C26" s="127">
        <v>5.8510000000000003E-3</v>
      </c>
      <c r="D26" s="128">
        <f>'Total Inst. Cost'!G24</f>
        <v>40588993.905945361</v>
      </c>
      <c r="E26" s="128">
        <f>Facilities!J34</f>
        <v>9395801.5905674361</v>
      </c>
      <c r="F26" s="128">
        <f>'District Services'!K33</f>
        <v>1697133.2733241688</v>
      </c>
      <c r="G26" s="433">
        <f t="shared" si="7"/>
        <v>51681928.76983697</v>
      </c>
      <c r="H26" s="128">
        <f t="shared" si="8"/>
        <v>5011535.3174916152</v>
      </c>
      <c r="I26" s="128">
        <f t="shared" si="9"/>
        <v>35577458.588453747</v>
      </c>
      <c r="J26" s="132">
        <f t="shared" si="10"/>
        <v>0.87652969844227802</v>
      </c>
      <c r="K26" s="128">
        <f t="shared" si="11"/>
        <v>1176158.4000170478</v>
      </c>
      <c r="L26" s="128">
        <f t="shared" si="12"/>
        <v>8219643.1905503888</v>
      </c>
      <c r="M26" s="132">
        <f t="shared" si="0"/>
        <v>0.87482085603022874</v>
      </c>
      <c r="N26" s="128">
        <f t="shared" si="13"/>
        <v>1697133.2733241688</v>
      </c>
      <c r="O26" s="128">
        <f t="shared" si="14"/>
        <v>0</v>
      </c>
      <c r="P26" s="132">
        <f t="shared" si="1"/>
        <v>0</v>
      </c>
      <c r="Q26" s="128">
        <f t="shared" si="15"/>
        <v>7884826.9908328317</v>
      </c>
      <c r="R26" s="128">
        <f t="shared" si="16"/>
        <v>43797101.779004134</v>
      </c>
      <c r="S26" s="132">
        <f t="shared" si="2"/>
        <v>0.84743551220877344</v>
      </c>
      <c r="T26" s="564">
        <f>Q26/ITA!B24*1000</f>
        <v>82.305512981099398</v>
      </c>
      <c r="U26" s="564"/>
      <c r="V26" s="462">
        <f>'FY 19 State Pmt'!BL25</f>
        <v>33318302.999999996</v>
      </c>
      <c r="W26" s="463">
        <f>'Prop Tax'!K24</f>
        <v>8105283.1067110524</v>
      </c>
      <c r="X26" s="533">
        <f t="shared" si="17"/>
        <v>41423586.106711045</v>
      </c>
      <c r="Y26" s="564"/>
      <c r="Z26" s="560">
        <f t="shared" si="18"/>
        <v>2373515.6722930893</v>
      </c>
      <c r="AA26" s="564"/>
      <c r="AB26" s="392">
        <f t="shared" si="3"/>
        <v>0</v>
      </c>
      <c r="AC26" s="581">
        <f t="shared" si="4"/>
        <v>43797101.779004134</v>
      </c>
      <c r="AD26" s="392">
        <f t="shared" si="19"/>
        <v>2373515.6722930893</v>
      </c>
      <c r="AE26" s="132">
        <f t="shared" si="5"/>
        <v>0.84743551220877344</v>
      </c>
      <c r="AF26" s="560">
        <f t="shared" si="6"/>
        <v>7884826.9908328354</v>
      </c>
      <c r="AG26" s="564">
        <f>AF26/ITA!B24*1000</f>
        <v>82.30551298109944</v>
      </c>
    </row>
    <row r="27" spans="1:33" x14ac:dyDescent="0.25">
      <c r="A27" s="123" t="s">
        <v>24</v>
      </c>
      <c r="B27" s="47">
        <v>710.4</v>
      </c>
      <c r="C27" s="73">
        <v>1.4400000000000001E-3</v>
      </c>
      <c r="D27" s="136">
        <f>'Total Inst. Cost'!G25</f>
        <v>4724198.6730411975</v>
      </c>
      <c r="E27" s="136">
        <f>Facilities!J35</f>
        <v>1091654.177198654</v>
      </c>
      <c r="F27" s="136">
        <f>'District Services'!K34</f>
        <v>1146111.5216626299</v>
      </c>
      <c r="G27" s="432">
        <f t="shared" si="7"/>
        <v>6961964.3719024817</v>
      </c>
      <c r="H27" s="136">
        <f t="shared" si="8"/>
        <v>1233397.8562960052</v>
      </c>
      <c r="I27" s="136">
        <f t="shared" si="9"/>
        <v>3490800.8167451923</v>
      </c>
      <c r="J27" s="79">
        <f t="shared" si="10"/>
        <v>0.73891913916863139</v>
      </c>
      <c r="K27" s="136">
        <f t="shared" si="11"/>
        <v>289466.43240891281</v>
      </c>
      <c r="L27" s="136">
        <f t="shared" si="12"/>
        <v>802187.74478974123</v>
      </c>
      <c r="M27" s="79">
        <f t="shared" si="0"/>
        <v>0.73483687558295574</v>
      </c>
      <c r="N27" s="136">
        <f t="shared" si="13"/>
        <v>1146111.5216626299</v>
      </c>
      <c r="O27" s="136">
        <f t="shared" si="14"/>
        <v>0</v>
      </c>
      <c r="P27" s="79">
        <f t="shared" si="1"/>
        <v>0</v>
      </c>
      <c r="Q27" s="136">
        <f t="shared" si="15"/>
        <v>2668975.8103675479</v>
      </c>
      <c r="R27" s="136">
        <f t="shared" si="16"/>
        <v>4292988.5615349337</v>
      </c>
      <c r="S27" s="79">
        <f t="shared" si="2"/>
        <v>0.61663466404120615</v>
      </c>
      <c r="T27" s="565">
        <f>Q27/ITA!B25*1000</f>
        <v>113.18613505062646</v>
      </c>
      <c r="U27" s="565"/>
      <c r="V27" s="464">
        <f>'FY 19 State Pmt'!BL26</f>
        <v>3464007.09</v>
      </c>
      <c r="W27" s="465">
        <f>'Prop Tax'!K25</f>
        <v>1162856.68868247</v>
      </c>
      <c r="X27" s="535">
        <f t="shared" si="17"/>
        <v>4626863.7786824703</v>
      </c>
      <c r="Y27" s="565"/>
      <c r="Z27" s="559">
        <f t="shared" si="18"/>
        <v>-333875.21714753658</v>
      </c>
      <c r="AA27" s="565"/>
      <c r="AB27" s="393">
        <f t="shared" si="3"/>
        <v>333875.21714753658</v>
      </c>
      <c r="AC27" s="582">
        <f t="shared" si="4"/>
        <v>4626863.7786824703</v>
      </c>
      <c r="AD27" s="393">
        <f t="shared" si="19"/>
        <v>0</v>
      </c>
      <c r="AE27" s="79">
        <f t="shared" si="5"/>
        <v>0.6645917059495231</v>
      </c>
      <c r="AF27" s="559">
        <f t="shared" si="6"/>
        <v>2335100.5932200113</v>
      </c>
      <c r="AG27" s="565">
        <f>AF27/ITA!B25*1000</f>
        <v>99.027128711444178</v>
      </c>
    </row>
    <row r="28" spans="1:33" x14ac:dyDescent="0.25">
      <c r="A28" s="125" t="s">
        <v>25</v>
      </c>
      <c r="B28" s="126">
        <v>2753.54</v>
      </c>
      <c r="C28" s="127">
        <v>2.2620000000000001E-3</v>
      </c>
      <c r="D28" s="128">
        <f>'Total Inst. Cost'!G26</f>
        <v>17790424.619491991</v>
      </c>
      <c r="E28" s="128">
        <f>Facilities!J36</f>
        <v>4134815.9905249733</v>
      </c>
      <c r="F28" s="128">
        <f>'District Services'!K35</f>
        <v>1240091.2506236869</v>
      </c>
      <c r="G28" s="433">
        <f t="shared" si="7"/>
        <v>23165331.860640652</v>
      </c>
      <c r="H28" s="128">
        <f t="shared" si="8"/>
        <v>1937462.4659316414</v>
      </c>
      <c r="I28" s="128">
        <f t="shared" si="9"/>
        <v>15852962.15356035</v>
      </c>
      <c r="J28" s="132">
        <f t="shared" si="10"/>
        <v>0.89109520950900356</v>
      </c>
      <c r="K28" s="128">
        <f t="shared" si="11"/>
        <v>454703.52090900054</v>
      </c>
      <c r="L28" s="128">
        <f t="shared" si="12"/>
        <v>3680112.4696159726</v>
      </c>
      <c r="M28" s="132">
        <f t="shared" si="0"/>
        <v>0.8900305305118863</v>
      </c>
      <c r="N28" s="128">
        <f t="shared" si="13"/>
        <v>1240091.2506236869</v>
      </c>
      <c r="O28" s="128">
        <f t="shared" si="14"/>
        <v>0</v>
      </c>
      <c r="P28" s="132">
        <f t="shared" si="1"/>
        <v>0</v>
      </c>
      <c r="Q28" s="128">
        <f t="shared" si="15"/>
        <v>3632257.2374643292</v>
      </c>
      <c r="R28" s="128">
        <f t="shared" si="16"/>
        <v>19533074.623176321</v>
      </c>
      <c r="S28" s="132">
        <f t="shared" si="2"/>
        <v>0.84320288354531359</v>
      </c>
      <c r="T28" s="564">
        <f>Q28/ITA!B26*1000</f>
        <v>98.055079119184612</v>
      </c>
      <c r="U28" s="564"/>
      <c r="V28" s="462">
        <f>'FY 19 State Pmt'!BL27</f>
        <v>14242918.110000003</v>
      </c>
      <c r="W28" s="463">
        <f>'Prop Tax'!K26</f>
        <v>2774290.617085218</v>
      </c>
      <c r="X28" s="533">
        <f t="shared" si="17"/>
        <v>17017208.727085222</v>
      </c>
      <c r="Y28" s="564"/>
      <c r="Z28" s="560">
        <f t="shared" si="18"/>
        <v>2515865.8960910998</v>
      </c>
      <c r="AA28" s="564"/>
      <c r="AB28" s="392">
        <f t="shared" si="3"/>
        <v>0</v>
      </c>
      <c r="AC28" s="581">
        <f t="shared" si="4"/>
        <v>19533074.623176321</v>
      </c>
      <c r="AD28" s="392">
        <f t="shared" si="19"/>
        <v>2515865.8960910998</v>
      </c>
      <c r="AE28" s="132">
        <f t="shared" si="5"/>
        <v>0.84320288354531359</v>
      </c>
      <c r="AF28" s="560">
        <f t="shared" si="6"/>
        <v>3632257.2374643311</v>
      </c>
      <c r="AG28" s="564">
        <f>AF28/ITA!B26*1000</f>
        <v>98.055079119184668</v>
      </c>
    </row>
    <row r="29" spans="1:33" x14ac:dyDescent="0.25">
      <c r="A29" s="123" t="s">
        <v>26</v>
      </c>
      <c r="B29" s="47">
        <v>1253.3399999999999</v>
      </c>
      <c r="C29" s="73">
        <v>3.7399999999999998E-4</v>
      </c>
      <c r="D29" s="58">
        <f>'Total Inst. Cost'!G27</f>
        <v>7431779.581042923</v>
      </c>
      <c r="E29" s="58">
        <f>Facilities!J37</f>
        <v>1755086.0454271527</v>
      </c>
      <c r="F29" s="58">
        <f>'District Services'!K36</f>
        <v>1164888.1855043925</v>
      </c>
      <c r="G29" s="434">
        <f t="shared" si="7"/>
        <v>10351753.811974468</v>
      </c>
      <c r="H29" s="58">
        <f t="shared" si="8"/>
        <v>320340.8321213235</v>
      </c>
      <c r="I29" s="58">
        <f t="shared" si="9"/>
        <v>7111438.7489215992</v>
      </c>
      <c r="J29" s="79">
        <f t="shared" si="10"/>
        <v>0.95689581093895015</v>
      </c>
      <c r="K29" s="58">
        <f t="shared" si="11"/>
        <v>75180.865083981509</v>
      </c>
      <c r="L29" s="58">
        <f t="shared" si="12"/>
        <v>1679905.1803431711</v>
      </c>
      <c r="M29" s="79">
        <f t="shared" si="0"/>
        <v>0.95716400043185113</v>
      </c>
      <c r="N29" s="58">
        <f t="shared" si="13"/>
        <v>1164888.1855043925</v>
      </c>
      <c r="O29" s="58">
        <f t="shared" si="14"/>
        <v>0</v>
      </c>
      <c r="P29" s="79">
        <f t="shared" si="1"/>
        <v>0</v>
      </c>
      <c r="Q29" s="58">
        <f t="shared" si="15"/>
        <v>1560409.8827096974</v>
      </c>
      <c r="R29" s="58">
        <f t="shared" si="16"/>
        <v>8791343.9292647708</v>
      </c>
      <c r="S29" s="79">
        <f t="shared" si="2"/>
        <v>0.84926130286206369</v>
      </c>
      <c r="T29" s="565">
        <f>Q29/ITA!B27*1000</f>
        <v>254.97126815371141</v>
      </c>
      <c r="U29" s="565"/>
      <c r="V29" s="464">
        <f>'FY 19 State Pmt'!BL28</f>
        <v>6892444.8499999987</v>
      </c>
      <c r="W29" s="465">
        <f>'Prop Tax'!K27</f>
        <v>1081219.0327931792</v>
      </c>
      <c r="X29" s="535">
        <f t="shared" si="17"/>
        <v>7973663.8827931779</v>
      </c>
      <c r="Y29" s="565"/>
      <c r="Z29" s="559">
        <f t="shared" si="18"/>
        <v>817680.04647159297</v>
      </c>
      <c r="AA29" s="565"/>
      <c r="AB29" s="393">
        <f t="shared" si="3"/>
        <v>0</v>
      </c>
      <c r="AC29" s="582">
        <f t="shared" si="4"/>
        <v>8791343.9292647708</v>
      </c>
      <c r="AD29" s="393">
        <f t="shared" si="19"/>
        <v>817680.04647159297</v>
      </c>
      <c r="AE29" s="79">
        <f t="shared" si="5"/>
        <v>0.84926130286206369</v>
      </c>
      <c r="AF29" s="559">
        <f t="shared" si="6"/>
        <v>1560409.8827096969</v>
      </c>
      <c r="AG29" s="565">
        <f>AF29/ITA!B27*1000</f>
        <v>254.97126815371135</v>
      </c>
    </row>
    <row r="30" spans="1:33" x14ac:dyDescent="0.25">
      <c r="A30" s="125" t="s">
        <v>27</v>
      </c>
      <c r="B30" s="126">
        <v>5263.6</v>
      </c>
      <c r="C30" s="127">
        <v>8.4440000000000001E-3</v>
      </c>
      <c r="D30" s="128">
        <f>'Total Inst. Cost'!G28</f>
        <v>33538710.132798426</v>
      </c>
      <c r="E30" s="128">
        <f>Facilities!J38</f>
        <v>7750431.9271119833</v>
      </c>
      <c r="F30" s="128">
        <f>'District Services'!K37</f>
        <v>1350300.2392805484</v>
      </c>
      <c r="G30" s="433">
        <f t="shared" si="7"/>
        <v>42639442.299190961</v>
      </c>
      <c r="H30" s="128">
        <f t="shared" si="8"/>
        <v>7232507.9851135183</v>
      </c>
      <c r="I30" s="128">
        <f t="shared" si="9"/>
        <v>26306202.147684909</v>
      </c>
      <c r="J30" s="132">
        <f t="shared" si="10"/>
        <v>0.78435342455103396</v>
      </c>
      <c r="K30" s="128">
        <f t="shared" si="11"/>
        <v>1697398.9967089305</v>
      </c>
      <c r="L30" s="128">
        <f t="shared" si="12"/>
        <v>6053032.9304030528</v>
      </c>
      <c r="M30" s="132">
        <f t="shared" si="0"/>
        <v>0.78099298043361742</v>
      </c>
      <c r="N30" s="128">
        <f t="shared" si="13"/>
        <v>1350300.2392805484</v>
      </c>
      <c r="O30" s="128">
        <f t="shared" si="14"/>
        <v>0</v>
      </c>
      <c r="P30" s="132">
        <f t="shared" si="1"/>
        <v>0</v>
      </c>
      <c r="Q30" s="128">
        <f t="shared" si="15"/>
        <v>10280207.221102998</v>
      </c>
      <c r="R30" s="128">
        <f t="shared" si="16"/>
        <v>32359235.078087963</v>
      </c>
      <c r="S30" s="132">
        <f t="shared" si="2"/>
        <v>0.75890380673909397</v>
      </c>
      <c r="T30" s="564">
        <f>Q30/ITA!B28*1000</f>
        <v>74.354854421033508</v>
      </c>
      <c r="U30" s="564"/>
      <c r="V30" s="462">
        <f>'FY 19 State Pmt'!BL29</f>
        <v>23191159.999999996</v>
      </c>
      <c r="W30" s="463">
        <f>'Prop Tax'!K28</f>
        <v>6164871.4210511865</v>
      </c>
      <c r="X30" s="533">
        <f t="shared" si="17"/>
        <v>29356031.421051182</v>
      </c>
      <c r="Y30" s="564"/>
      <c r="Z30" s="560">
        <f t="shared" si="18"/>
        <v>3003203.6570367813</v>
      </c>
      <c r="AA30" s="564"/>
      <c r="AB30" s="392">
        <f t="shared" si="3"/>
        <v>0</v>
      </c>
      <c r="AC30" s="581">
        <f t="shared" si="4"/>
        <v>32359235.078087963</v>
      </c>
      <c r="AD30" s="392">
        <f t="shared" si="19"/>
        <v>3003203.6570367813</v>
      </c>
      <c r="AE30" s="132">
        <f t="shared" si="5"/>
        <v>0.75890380673909397</v>
      </c>
      <c r="AF30" s="560">
        <f t="shared" si="6"/>
        <v>10280207.221102998</v>
      </c>
      <c r="AG30" s="564">
        <f>AF30/ITA!B28*1000</f>
        <v>74.354854421033508</v>
      </c>
    </row>
    <row r="31" spans="1:33" x14ac:dyDescent="0.25">
      <c r="A31" s="123" t="s">
        <v>28</v>
      </c>
      <c r="B31" s="47">
        <v>9606.7099999999991</v>
      </c>
      <c r="C31" s="73">
        <v>1.1655E-2</v>
      </c>
      <c r="D31" s="136">
        <f>'Total Inst. Cost'!G29</f>
        <v>58793603.760916986</v>
      </c>
      <c r="E31" s="136">
        <f>Facilities!J39</f>
        <v>13804726.498666165</v>
      </c>
      <c r="F31" s="136">
        <f>'District Services'!K38</f>
        <v>2588282.2874667956</v>
      </c>
      <c r="G31" s="432">
        <f t="shared" si="7"/>
        <v>75186612.54704994</v>
      </c>
      <c r="H31" s="136">
        <f t="shared" si="8"/>
        <v>9982813.8993957918</v>
      </c>
      <c r="I31" s="136">
        <f t="shared" si="9"/>
        <v>48810789.861521192</v>
      </c>
      <c r="J31" s="79">
        <f t="shared" si="10"/>
        <v>0.83020578326869188</v>
      </c>
      <c r="K31" s="136">
        <f t="shared" si="11"/>
        <v>2342868.9373096381</v>
      </c>
      <c r="L31" s="136">
        <f t="shared" si="12"/>
        <v>11461857.561356528</v>
      </c>
      <c r="M31" s="79">
        <f t="shared" si="0"/>
        <v>0.83028501596637871</v>
      </c>
      <c r="N31" s="136">
        <f t="shared" si="13"/>
        <v>2588282.2874667956</v>
      </c>
      <c r="O31" s="136">
        <f t="shared" si="14"/>
        <v>0</v>
      </c>
      <c r="P31" s="79">
        <f t="shared" si="1"/>
        <v>0</v>
      </c>
      <c r="Q31" s="136">
        <f t="shared" si="15"/>
        <v>14913965.124172226</v>
      </c>
      <c r="R31" s="136">
        <f t="shared" si="16"/>
        <v>60272647.422877721</v>
      </c>
      <c r="S31" s="79">
        <f t="shared" si="2"/>
        <v>0.80164068284311352</v>
      </c>
      <c r="T31" s="565">
        <f>Q31/ITA!B29*1000</f>
        <v>78.152528615529462</v>
      </c>
      <c r="U31" s="565"/>
      <c r="V31" s="464">
        <f>'FY 19 State Pmt'!BL30</f>
        <v>44339857.70000001</v>
      </c>
      <c r="W31" s="465">
        <f>'Prop Tax'!K29</f>
        <v>13441311.993382974</v>
      </c>
      <c r="X31" s="535">
        <f t="shared" si="17"/>
        <v>57781169.693382986</v>
      </c>
      <c r="Y31" s="565"/>
      <c r="Z31" s="559">
        <f t="shared" si="18"/>
        <v>2491477.7294947356</v>
      </c>
      <c r="AA31" s="565"/>
      <c r="AB31" s="393">
        <f t="shared" si="3"/>
        <v>0</v>
      </c>
      <c r="AC31" s="582">
        <f t="shared" si="4"/>
        <v>60272647.422877721</v>
      </c>
      <c r="AD31" s="393">
        <f t="shared" si="19"/>
        <v>2491477.7294947356</v>
      </c>
      <c r="AE31" s="79">
        <f t="shared" si="5"/>
        <v>0.80164068284311352</v>
      </c>
      <c r="AF31" s="559">
        <f t="shared" si="6"/>
        <v>14913965.124172218</v>
      </c>
      <c r="AG31" s="565">
        <f>AF31/ITA!B29*1000</f>
        <v>78.15252861552942</v>
      </c>
    </row>
    <row r="32" spans="1:33" x14ac:dyDescent="0.25">
      <c r="A32" s="125" t="s">
        <v>29</v>
      </c>
      <c r="B32" s="126">
        <v>1528.03</v>
      </c>
      <c r="C32" s="127">
        <v>8.43E-4</v>
      </c>
      <c r="D32" s="128">
        <f>'Total Inst. Cost'!G30</f>
        <v>9145971.510493394</v>
      </c>
      <c r="E32" s="128">
        <f>Facilities!J40</f>
        <v>2147010.047337078</v>
      </c>
      <c r="F32" s="128">
        <f>'District Services'!K39</f>
        <v>1176788.841172002</v>
      </c>
      <c r="G32" s="433">
        <f t="shared" si="7"/>
        <v>12469770.399002474</v>
      </c>
      <c r="H32" s="128">
        <f t="shared" si="8"/>
        <v>722051.66170661966</v>
      </c>
      <c r="I32" s="128">
        <f t="shared" si="9"/>
        <v>8423919.848786775</v>
      </c>
      <c r="J32" s="132">
        <f t="shared" si="10"/>
        <v>0.92105249170323877</v>
      </c>
      <c r="K32" s="128">
        <f t="shared" si="11"/>
        <v>169458.47397271771</v>
      </c>
      <c r="L32" s="128">
        <f t="shared" si="12"/>
        <v>1977551.5733643603</v>
      </c>
      <c r="M32" s="132">
        <f t="shared" si="0"/>
        <v>0.92107234235680646</v>
      </c>
      <c r="N32" s="128">
        <f t="shared" si="13"/>
        <v>1176788.841172002</v>
      </c>
      <c r="O32" s="128">
        <f t="shared" si="14"/>
        <v>0</v>
      </c>
      <c r="P32" s="132">
        <f t="shared" si="1"/>
        <v>0</v>
      </c>
      <c r="Q32" s="128">
        <f t="shared" si="15"/>
        <v>2068298.9768513395</v>
      </c>
      <c r="R32" s="128">
        <f t="shared" si="16"/>
        <v>10401471.422151135</v>
      </c>
      <c r="S32" s="132">
        <f t="shared" si="2"/>
        <v>0.83413495913150149</v>
      </c>
      <c r="T32" s="564">
        <f>Q32/ITA!B30*1000</f>
        <v>149.89021671088966</v>
      </c>
      <c r="U32" s="564"/>
      <c r="V32" s="462">
        <f>'FY 19 State Pmt'!BL31</f>
        <v>8163949.9400000004</v>
      </c>
      <c r="W32" s="463">
        <f>'Prop Tax'!K30</f>
        <v>1235766.9125217153</v>
      </c>
      <c r="X32" s="533">
        <f t="shared" si="17"/>
        <v>9399716.8525217157</v>
      </c>
      <c r="Y32" s="564"/>
      <c r="Z32" s="560">
        <f t="shared" si="18"/>
        <v>1001754.5696294196</v>
      </c>
      <c r="AA32" s="564"/>
      <c r="AB32" s="392">
        <f t="shared" si="3"/>
        <v>0</v>
      </c>
      <c r="AC32" s="581">
        <f t="shared" si="4"/>
        <v>10401471.422151135</v>
      </c>
      <c r="AD32" s="392">
        <f t="shared" si="19"/>
        <v>1001754.5696294196</v>
      </c>
      <c r="AE32" s="132">
        <f t="shared" si="5"/>
        <v>0.83413495913150149</v>
      </c>
      <c r="AF32" s="560">
        <f t="shared" si="6"/>
        <v>2068298.9768513385</v>
      </c>
      <c r="AG32" s="564">
        <f>AF32/ITA!B30*1000</f>
        <v>149.8902167108896</v>
      </c>
    </row>
    <row r="33" spans="1:33" x14ac:dyDescent="0.25">
      <c r="A33" s="123" t="s">
        <v>30</v>
      </c>
      <c r="B33" s="47">
        <v>3982.19</v>
      </c>
      <c r="C33" s="73">
        <v>2.5300000000000001E-3</v>
      </c>
      <c r="D33" s="58">
        <f>'Total Inst. Cost'!G31</f>
        <v>23718473.483735744</v>
      </c>
      <c r="E33" s="58">
        <f>Facilities!J41</f>
        <v>5629448.5251050377</v>
      </c>
      <c r="F33" s="58">
        <f>'District Services'!K40</f>
        <v>1282296.7979726929</v>
      </c>
      <c r="G33" s="434">
        <f t="shared" si="7"/>
        <v>30630218.806813475</v>
      </c>
      <c r="H33" s="58">
        <f t="shared" si="8"/>
        <v>2167011.5114089535</v>
      </c>
      <c r="I33" s="58">
        <f t="shared" si="9"/>
        <v>21551461.972326789</v>
      </c>
      <c r="J33" s="79">
        <f t="shared" si="10"/>
        <v>0.90863613069808558</v>
      </c>
      <c r="K33" s="58">
        <f t="shared" si="11"/>
        <v>508576.44027399266</v>
      </c>
      <c r="L33" s="58">
        <f t="shared" si="12"/>
        <v>5120872.084831045</v>
      </c>
      <c r="M33" s="79">
        <f t="shared" si="0"/>
        <v>0.90965785760257867</v>
      </c>
      <c r="N33" s="58">
        <f t="shared" si="13"/>
        <v>1282296.7979726929</v>
      </c>
      <c r="O33" s="58">
        <f t="shared" si="14"/>
        <v>0</v>
      </c>
      <c r="P33" s="79">
        <f t="shared" si="1"/>
        <v>0</v>
      </c>
      <c r="Q33" s="58">
        <f t="shared" si="15"/>
        <v>3957884.7496556388</v>
      </c>
      <c r="R33" s="58">
        <f t="shared" si="16"/>
        <v>26672334.057157833</v>
      </c>
      <c r="S33" s="79">
        <f t="shared" si="2"/>
        <v>0.87078496648625836</v>
      </c>
      <c r="T33" s="565">
        <f>Q33/ITA!B31*1000</f>
        <v>95.533056296837316</v>
      </c>
      <c r="U33" s="565"/>
      <c r="V33" s="464">
        <f>'FY 19 State Pmt'!BL32</f>
        <v>19960960.789999995</v>
      </c>
      <c r="W33" s="465">
        <f>'Prop Tax'!K31</f>
        <v>3791746.6808839766</v>
      </c>
      <c r="X33" s="535">
        <f t="shared" si="17"/>
        <v>23752707.470883973</v>
      </c>
      <c r="Y33" s="565"/>
      <c r="Z33" s="559">
        <f t="shared" si="18"/>
        <v>2919626.5862738602</v>
      </c>
      <c r="AA33" s="565"/>
      <c r="AB33" s="393">
        <f t="shared" si="3"/>
        <v>0</v>
      </c>
      <c r="AC33" s="582">
        <f t="shared" si="4"/>
        <v>26672334.057157833</v>
      </c>
      <c r="AD33" s="393">
        <f t="shared" si="19"/>
        <v>2919626.5862738602</v>
      </c>
      <c r="AE33" s="79">
        <f t="shared" si="5"/>
        <v>0.87078496648625836</v>
      </c>
      <c r="AF33" s="559">
        <f t="shared" si="6"/>
        <v>3957884.7496556416</v>
      </c>
      <c r="AG33" s="565">
        <f>AF33/ITA!B31*1000</f>
        <v>95.533056296837358</v>
      </c>
    </row>
    <row r="34" spans="1:33" x14ac:dyDescent="0.25">
      <c r="A34" s="125" t="s">
        <v>31</v>
      </c>
      <c r="B34" s="126">
        <v>25440.37</v>
      </c>
      <c r="C34" s="127">
        <v>1.6617E-2</v>
      </c>
      <c r="D34" s="128">
        <f>'Total Inst. Cost'!G32</f>
        <v>145638287.39121538</v>
      </c>
      <c r="E34" s="128">
        <f>Facilities!J42</f>
        <v>34412490.034997895</v>
      </c>
      <c r="F34" s="128">
        <f>'District Services'!K41</f>
        <v>4245528.1982150944</v>
      </c>
      <c r="G34" s="433">
        <f t="shared" si="7"/>
        <v>184296305.62442836</v>
      </c>
      <c r="H34" s="128">
        <f t="shared" si="8"/>
        <v>14232897.345882442</v>
      </c>
      <c r="I34" s="128">
        <f t="shared" si="9"/>
        <v>131405390.04533294</v>
      </c>
      <c r="J34" s="132">
        <f t="shared" si="10"/>
        <v>0.90227228292207351</v>
      </c>
      <c r="K34" s="128">
        <f t="shared" si="11"/>
        <v>3340322.0189853502</v>
      </c>
      <c r="L34" s="128">
        <f t="shared" si="12"/>
        <v>31072168.016012546</v>
      </c>
      <c r="M34" s="132">
        <f t="shared" si="0"/>
        <v>0.90293285909888521</v>
      </c>
      <c r="N34" s="128">
        <f t="shared" si="13"/>
        <v>4245528.1982150944</v>
      </c>
      <c r="O34" s="128">
        <f t="shared" si="14"/>
        <v>0</v>
      </c>
      <c r="P34" s="132">
        <f t="shared" si="1"/>
        <v>0</v>
      </c>
      <c r="Q34" s="128">
        <f t="shared" si="15"/>
        <v>21818747.563082885</v>
      </c>
      <c r="R34" s="128">
        <f t="shared" si="16"/>
        <v>162477558.06134549</v>
      </c>
      <c r="S34" s="132">
        <f t="shared" si="2"/>
        <v>0.88161049952055681</v>
      </c>
      <c r="T34" s="564">
        <f>Q34/ITA!B32*1000</f>
        <v>80.194465036241724</v>
      </c>
      <c r="U34" s="564"/>
      <c r="V34" s="462">
        <f>'FY 19 State Pmt'!BL33</f>
        <v>117212002.76000001</v>
      </c>
      <c r="W34" s="463">
        <f>'Prop Tax'!K32</f>
        <v>36629400.907962725</v>
      </c>
      <c r="X34" s="533">
        <f t="shared" si="17"/>
        <v>153841403.66796273</v>
      </c>
      <c r="Y34" s="564"/>
      <c r="Z34" s="560">
        <f t="shared" si="18"/>
        <v>8636154.3933827579</v>
      </c>
      <c r="AA34" s="564"/>
      <c r="AB34" s="392">
        <f t="shared" si="3"/>
        <v>0</v>
      </c>
      <c r="AC34" s="581">
        <f t="shared" si="4"/>
        <v>162477558.06134549</v>
      </c>
      <c r="AD34" s="392">
        <f t="shared" si="19"/>
        <v>8636154.3933827579</v>
      </c>
      <c r="AE34" s="132">
        <f t="shared" si="5"/>
        <v>0.88161049952055681</v>
      </c>
      <c r="AF34" s="560">
        <f t="shared" si="6"/>
        <v>21818747.563082874</v>
      </c>
      <c r="AG34" s="564">
        <f>AF34/ITA!B32*1000</f>
        <v>80.194465036241681</v>
      </c>
    </row>
    <row r="35" spans="1:33" x14ac:dyDescent="0.25">
      <c r="A35" s="123" t="s">
        <v>32</v>
      </c>
      <c r="B35" s="47">
        <v>2145.29</v>
      </c>
      <c r="C35" s="73">
        <v>3.094E-3</v>
      </c>
      <c r="D35" s="136">
        <f>'Total Inst. Cost'!G33</f>
        <v>13609514.380308764</v>
      </c>
      <c r="E35" s="136">
        <f>Facilities!J43</f>
        <v>3172807.4822966708</v>
      </c>
      <c r="F35" s="136">
        <f>'District Services'!K42</f>
        <v>1209721.7870783105</v>
      </c>
      <c r="G35" s="432">
        <f t="shared" si="7"/>
        <v>17992043.649683744</v>
      </c>
      <c r="H35" s="136">
        <f t="shared" si="8"/>
        <v>2650092.3384582219</v>
      </c>
      <c r="I35" s="136">
        <f t="shared" si="9"/>
        <v>10959422.041850543</v>
      </c>
      <c r="J35" s="79">
        <f t="shared" si="10"/>
        <v>0.80527649522215372</v>
      </c>
      <c r="K35" s="136">
        <f t="shared" si="11"/>
        <v>621950.79296748352</v>
      </c>
      <c r="L35" s="136">
        <f t="shared" si="12"/>
        <v>2550856.6893291874</v>
      </c>
      <c r="M35" s="79">
        <f t="shared" si="0"/>
        <v>0.80397461981611384</v>
      </c>
      <c r="N35" s="136">
        <f t="shared" si="13"/>
        <v>1209721.7870783105</v>
      </c>
      <c r="O35" s="136">
        <f t="shared" si="14"/>
        <v>0</v>
      </c>
      <c r="P35" s="79">
        <f t="shared" si="1"/>
        <v>0</v>
      </c>
      <c r="Q35" s="136">
        <f t="shared" si="15"/>
        <v>4481764.9185040155</v>
      </c>
      <c r="R35" s="136">
        <f t="shared" si="16"/>
        <v>13510278.731179729</v>
      </c>
      <c r="S35" s="79">
        <f t="shared" si="2"/>
        <v>0.75090295434099874</v>
      </c>
      <c r="T35" s="565">
        <f>Q35/ITA!B33*1000</f>
        <v>88.473052649873665</v>
      </c>
      <c r="U35" s="565"/>
      <c r="V35" s="464">
        <f>'FY 19 State Pmt'!BL34</f>
        <v>9958914.410000002</v>
      </c>
      <c r="W35" s="465">
        <f>'Prop Tax'!K33</f>
        <v>4627985.1562803006</v>
      </c>
      <c r="X35" s="535">
        <f t="shared" si="17"/>
        <v>14586899.566280302</v>
      </c>
      <c r="Y35" s="565"/>
      <c r="Z35" s="559">
        <f t="shared" si="18"/>
        <v>-1076620.8351005726</v>
      </c>
      <c r="AA35" s="565"/>
      <c r="AB35" s="393">
        <f t="shared" si="3"/>
        <v>1076620.8351005726</v>
      </c>
      <c r="AC35" s="582">
        <f t="shared" si="4"/>
        <v>14586899.566280302</v>
      </c>
      <c r="AD35" s="393">
        <f t="shared" si="19"/>
        <v>0</v>
      </c>
      <c r="AE35" s="79">
        <f t="shared" si="5"/>
        <v>0.81074167283585397</v>
      </c>
      <c r="AF35" s="559">
        <f t="shared" si="6"/>
        <v>3405144.0834034421</v>
      </c>
      <c r="AG35" s="565">
        <f>AF35/ITA!B33*1000</f>
        <v>67.219833536453834</v>
      </c>
    </row>
    <row r="36" spans="1:33" x14ac:dyDescent="0.25">
      <c r="A36" s="125" t="s">
        <v>33</v>
      </c>
      <c r="B36" s="126">
        <v>3224.83</v>
      </c>
      <c r="C36" s="127">
        <v>3.0569999999999998E-3</v>
      </c>
      <c r="D36" s="128">
        <f>'Total Inst. Cost'!G34</f>
        <v>19085569.61418277</v>
      </c>
      <c r="E36" s="128">
        <f>Facilities!J44</f>
        <v>4478473.3312766002</v>
      </c>
      <c r="F36" s="128">
        <f>'District Services'!K43</f>
        <v>1246481.9607540763</v>
      </c>
      <c r="G36" s="433">
        <f t="shared" si="7"/>
        <v>24810524.906213447</v>
      </c>
      <c r="H36" s="128">
        <f t="shared" si="8"/>
        <v>2618400.8657617271</v>
      </c>
      <c r="I36" s="128">
        <f t="shared" si="9"/>
        <v>16467168.748421043</v>
      </c>
      <c r="J36" s="132">
        <f t="shared" si="10"/>
        <v>0.86280729793802147</v>
      </c>
      <c r="K36" s="128">
        <f t="shared" si="11"/>
        <v>614513.11380142113</v>
      </c>
      <c r="L36" s="128">
        <f t="shared" si="12"/>
        <v>3863960.2174751791</v>
      </c>
      <c r="M36" s="132">
        <f t="shared" si="0"/>
        <v>0.86278513494547204</v>
      </c>
      <c r="N36" s="128">
        <f t="shared" si="13"/>
        <v>1246481.9607540763</v>
      </c>
      <c r="O36" s="128">
        <f t="shared" si="14"/>
        <v>0</v>
      </c>
      <c r="P36" s="132">
        <f t="shared" si="1"/>
        <v>0</v>
      </c>
      <c r="Q36" s="128">
        <f t="shared" si="15"/>
        <v>4479395.9403172247</v>
      </c>
      <c r="R36" s="128">
        <f t="shared" si="16"/>
        <v>20331128.965896223</v>
      </c>
      <c r="S36" s="132">
        <f t="shared" si="2"/>
        <v>0.81945581734969974</v>
      </c>
      <c r="T36" s="564">
        <f>Q36/ITA!B34*1000</f>
        <v>89.482597788747128</v>
      </c>
      <c r="U36" s="564"/>
      <c r="V36" s="462">
        <f>'FY 19 State Pmt'!BL35</f>
        <v>15323261.660000004</v>
      </c>
      <c r="W36" s="463">
        <f>'Prop Tax'!K34</f>
        <v>5884286.4031790094</v>
      </c>
      <c r="X36" s="533">
        <f t="shared" si="17"/>
        <v>21207548.063179012</v>
      </c>
      <c r="Y36" s="564"/>
      <c r="Z36" s="560">
        <f t="shared" si="18"/>
        <v>-876419.09728278965</v>
      </c>
      <c r="AA36" s="564"/>
      <c r="AB36" s="392">
        <f t="shared" si="3"/>
        <v>876419.09728278965</v>
      </c>
      <c r="AC36" s="581">
        <f t="shared" si="4"/>
        <v>21207548.063179012</v>
      </c>
      <c r="AD36" s="392">
        <f t="shared" si="19"/>
        <v>0</v>
      </c>
      <c r="AE36" s="132">
        <f t="shared" si="5"/>
        <v>0.85478030567051322</v>
      </c>
      <c r="AF36" s="560">
        <f t="shared" si="6"/>
        <v>3602976.8430344351</v>
      </c>
      <c r="AG36" s="564">
        <f>AF36/ITA!B34*1000</f>
        <v>71.974822494612539</v>
      </c>
    </row>
    <row r="37" spans="1:33" x14ac:dyDescent="0.25">
      <c r="A37" s="123" t="s">
        <v>34</v>
      </c>
      <c r="B37" s="47">
        <v>2373.3200000000002</v>
      </c>
      <c r="C37" s="73">
        <v>7.4960000000000001E-3</v>
      </c>
      <c r="D37" s="58">
        <f>'Total Inst. Cost'!G35</f>
        <v>15116588.429283798</v>
      </c>
      <c r="E37" s="58">
        <f>Facilities!J45</f>
        <v>3509966.456015307</v>
      </c>
      <c r="F37" s="58">
        <f>'District Services'!K44</f>
        <v>1220104.7832732918</v>
      </c>
      <c r="G37" s="434">
        <f t="shared" si="7"/>
        <v>19846659.668572396</v>
      </c>
      <c r="H37" s="58">
        <f t="shared" si="8"/>
        <v>6420521.0630519819</v>
      </c>
      <c r="I37" s="58">
        <f t="shared" si="9"/>
        <v>8696067.3662318159</v>
      </c>
      <c r="J37" s="79">
        <f t="shared" si="10"/>
        <v>0.57526652967450165</v>
      </c>
      <c r="K37" s="58">
        <f t="shared" si="11"/>
        <v>1506833.5953730626</v>
      </c>
      <c r="L37" s="58">
        <f t="shared" si="12"/>
        <v>2003132.8606422443</v>
      </c>
      <c r="M37" s="79">
        <f t="shared" si="0"/>
        <v>0.57069857667993296</v>
      </c>
      <c r="N37" s="58">
        <f t="shared" si="13"/>
        <v>1220104.7832732918</v>
      </c>
      <c r="O37" s="58">
        <f t="shared" si="14"/>
        <v>0</v>
      </c>
      <c r="P37" s="79">
        <f t="shared" si="1"/>
        <v>0</v>
      </c>
      <c r="Q37" s="58">
        <f t="shared" si="15"/>
        <v>9147459.4416983351</v>
      </c>
      <c r="R37" s="58">
        <f t="shared" si="16"/>
        <v>10699200.226874061</v>
      </c>
      <c r="S37" s="79">
        <f t="shared" si="2"/>
        <v>0.53909324821125792</v>
      </c>
      <c r="T37" s="565">
        <f>Q37/ITA!B35*1000</f>
        <v>74.537101700081166</v>
      </c>
      <c r="U37" s="565"/>
      <c r="V37" s="464">
        <f>'FY 19 State Pmt'!BL36</f>
        <v>8286479.2600000016</v>
      </c>
      <c r="W37" s="465">
        <f>'Prop Tax'!K35</f>
        <v>5274004.4155953424</v>
      </c>
      <c r="X37" s="535">
        <f t="shared" si="17"/>
        <v>13560483.675595343</v>
      </c>
      <c r="Y37" s="565"/>
      <c r="Z37" s="559">
        <f t="shared" si="18"/>
        <v>-2861283.4487212822</v>
      </c>
      <c r="AA37" s="565"/>
      <c r="AB37" s="393">
        <f t="shared" si="3"/>
        <v>2861283.4487212822</v>
      </c>
      <c r="AC37" s="582">
        <f t="shared" si="4"/>
        <v>13560483.675595343</v>
      </c>
      <c r="AD37" s="393">
        <f t="shared" si="19"/>
        <v>0</v>
      </c>
      <c r="AE37" s="79">
        <f t="shared" si="5"/>
        <v>0.68326277076583597</v>
      </c>
      <c r="AF37" s="559">
        <f t="shared" si="6"/>
        <v>6286175.9929770529</v>
      </c>
      <c r="AG37" s="565">
        <f>AF37/ITA!B35*1000</f>
        <v>51.22223741788428</v>
      </c>
    </row>
    <row r="38" spans="1:33" x14ac:dyDescent="0.25">
      <c r="A38" s="125" t="s">
        <v>35</v>
      </c>
      <c r="B38" s="126">
        <v>15667.43</v>
      </c>
      <c r="C38" s="127">
        <v>1.7604999999999999E-2</v>
      </c>
      <c r="D38" s="128">
        <f>'Total Inst. Cost'!G36</f>
        <v>95241841.180101097</v>
      </c>
      <c r="E38" s="128">
        <f>Facilities!J46</f>
        <v>22313111.417470753</v>
      </c>
      <c r="F38" s="128">
        <f>'District Services'!K45</f>
        <v>3900824.2210878227</v>
      </c>
      <c r="G38" s="433">
        <f t="shared" si="7"/>
        <v>121455776.81865968</v>
      </c>
      <c r="H38" s="128">
        <f t="shared" si="8"/>
        <v>15079145.319507755</v>
      </c>
      <c r="I38" s="128">
        <f t="shared" si="9"/>
        <v>80162695.860593349</v>
      </c>
      <c r="J38" s="132">
        <f t="shared" si="10"/>
        <v>0.84167520143806041</v>
      </c>
      <c r="K38" s="128">
        <f t="shared" si="11"/>
        <v>3538928.1545547983</v>
      </c>
      <c r="L38" s="128">
        <f t="shared" si="12"/>
        <v>18774183.262915954</v>
      </c>
      <c r="M38" s="132">
        <f t="shared" si="0"/>
        <v>0.84139692182131609</v>
      </c>
      <c r="N38" s="128">
        <f t="shared" si="13"/>
        <v>3900824.2210878227</v>
      </c>
      <c r="O38" s="128">
        <f t="shared" si="14"/>
        <v>0</v>
      </c>
      <c r="P38" s="132">
        <f t="shared" si="1"/>
        <v>0</v>
      </c>
      <c r="Q38" s="128">
        <f t="shared" si="15"/>
        <v>22518897.695150375</v>
      </c>
      <c r="R38" s="128">
        <f t="shared" si="16"/>
        <v>98936879.123509303</v>
      </c>
      <c r="S38" s="132">
        <f t="shared" si="2"/>
        <v>0.8145917939434667</v>
      </c>
      <c r="T38" s="564">
        <f>Q38/ITA!B36*1000</f>
        <v>78.123529230110321</v>
      </c>
      <c r="U38" s="564"/>
      <c r="V38" s="462">
        <f>'FY 19 State Pmt'!BL37</f>
        <v>71554098.519999996</v>
      </c>
      <c r="W38" s="463">
        <f>'Prop Tax'!K36</f>
        <v>24650523.897592634</v>
      </c>
      <c r="X38" s="533">
        <f t="shared" si="17"/>
        <v>96204622.41759263</v>
      </c>
      <c r="Y38" s="564"/>
      <c r="Z38" s="560">
        <f t="shared" si="18"/>
        <v>2732256.7059166729</v>
      </c>
      <c r="AA38" s="564"/>
      <c r="AB38" s="392">
        <f t="shared" si="3"/>
        <v>0</v>
      </c>
      <c r="AC38" s="581">
        <f t="shared" si="4"/>
        <v>98936879.123509303</v>
      </c>
      <c r="AD38" s="392">
        <f t="shared" si="19"/>
        <v>2732256.7059166729</v>
      </c>
      <c r="AE38" s="132">
        <f t="shared" si="5"/>
        <v>0.8145917939434667</v>
      </c>
      <c r="AF38" s="560">
        <f t="shared" si="6"/>
        <v>22518897.695150375</v>
      </c>
      <c r="AG38" s="564">
        <f>AF38/ITA!B36*1000</f>
        <v>78.123529230110321</v>
      </c>
    </row>
    <row r="39" spans="1:33" x14ac:dyDescent="0.25">
      <c r="A39" s="123" t="s">
        <v>36</v>
      </c>
      <c r="B39" s="47">
        <v>1091.3900000000001</v>
      </c>
      <c r="C39" s="73">
        <v>6.1600000000000001E-4</v>
      </c>
      <c r="D39" s="136">
        <f>'Total Inst. Cost'!G37</f>
        <v>6901363.2523968043</v>
      </c>
      <c r="E39" s="136">
        <f>Facilities!J47</f>
        <v>1586335.4984243049</v>
      </c>
      <c r="F39" s="136">
        <f>'District Services'!K46</f>
        <v>1160530.7137354382</v>
      </c>
      <c r="G39" s="432">
        <f t="shared" si="7"/>
        <v>9648229.4645565487</v>
      </c>
      <c r="H39" s="136">
        <f t="shared" si="8"/>
        <v>527620.19408217992</v>
      </c>
      <c r="I39" s="136">
        <f t="shared" si="9"/>
        <v>6373743.0583146242</v>
      </c>
      <c r="J39" s="79">
        <f t="shared" si="10"/>
        <v>0.9235484099610406</v>
      </c>
      <c r="K39" s="136">
        <f t="shared" si="11"/>
        <v>123827.30719714603</v>
      </c>
      <c r="L39" s="136">
        <f t="shared" si="12"/>
        <v>1462508.1912271588</v>
      </c>
      <c r="M39" s="79">
        <f t="shared" ref="M39:M70" si="20">L39/E39</f>
        <v>0.92194128712359846</v>
      </c>
      <c r="N39" s="136">
        <f t="shared" si="13"/>
        <v>1160530.7137354382</v>
      </c>
      <c r="O39" s="136">
        <f t="shared" ref="O39:O70" si="21">F39-N39</f>
        <v>0</v>
      </c>
      <c r="P39" s="79">
        <f t="shared" ref="P39:P70" si="22">O39/F39</f>
        <v>0</v>
      </c>
      <c r="Q39" s="136">
        <f t="shared" ref="Q39:Q70" si="23">H39+K39+N39</f>
        <v>1811978.2150147641</v>
      </c>
      <c r="R39" s="136">
        <f t="shared" ref="R39:R70" si="24">I39+L39+O39</f>
        <v>7836251.2495417828</v>
      </c>
      <c r="S39" s="79">
        <f t="shared" ref="S39:S70" si="25">R39/G39</f>
        <v>0.81219577937369802</v>
      </c>
      <c r="T39" s="565">
        <f>Q39/ITA!B37*1000</f>
        <v>179.61152840490993</v>
      </c>
      <c r="U39" s="565"/>
      <c r="V39" s="464">
        <f>'FY 19 State Pmt'!BL38</f>
        <v>6152286.5500000007</v>
      </c>
      <c r="W39" s="465">
        <f>'Prop Tax'!K37</f>
        <v>1236738.5013549556</v>
      </c>
      <c r="X39" s="535">
        <f t="shared" si="17"/>
        <v>7389025.0513549559</v>
      </c>
      <c r="Y39" s="565"/>
      <c r="Z39" s="559">
        <f t="shared" ref="Z39:Z70" si="26">R39-X39</f>
        <v>447226.19818682689</v>
      </c>
      <c r="AA39" s="565"/>
      <c r="AB39" s="393">
        <f t="shared" ref="AB39:AB70" si="27">IF(Z39&lt;0,X39-R39,0)</f>
        <v>0</v>
      </c>
      <c r="AC39" s="582">
        <f t="shared" ref="AC39:AC70" si="28">AB39+R39</f>
        <v>7836251.2495417828</v>
      </c>
      <c r="AD39" s="393">
        <f t="shared" si="19"/>
        <v>447226.19818682689</v>
      </c>
      <c r="AE39" s="79">
        <f t="shared" ref="AE39:AE70" si="29">AC39/G39</f>
        <v>0.81219577937369802</v>
      </c>
      <c r="AF39" s="559">
        <f t="shared" ref="AF39:AF70" si="30">G39-AC39</f>
        <v>1811978.215014766</v>
      </c>
      <c r="AG39" s="565">
        <f>AF39/ITA!B37*1000</f>
        <v>179.61152840491013</v>
      </c>
    </row>
    <row r="40" spans="1:33" x14ac:dyDescent="0.25">
      <c r="A40" s="125" t="s">
        <v>37</v>
      </c>
      <c r="B40" s="126">
        <v>3269.06</v>
      </c>
      <c r="C40" s="127">
        <v>2.5490000000000001E-3</v>
      </c>
      <c r="D40" s="128">
        <f>'Total Inst. Cost'!G38</f>
        <v>21487426.541385647</v>
      </c>
      <c r="E40" s="128">
        <f>Facilities!J48</f>
        <v>4940404.497127967</v>
      </c>
      <c r="F40" s="128">
        <f>'District Services'!K47</f>
        <v>1265414.4321673247</v>
      </c>
      <c r="G40" s="433">
        <f t="shared" si="7"/>
        <v>27693245.470680941</v>
      </c>
      <c r="H40" s="128">
        <f t="shared" si="8"/>
        <v>2183285.5109017477</v>
      </c>
      <c r="I40" s="128">
        <f t="shared" si="9"/>
        <v>19304141.030483898</v>
      </c>
      <c r="J40" s="132">
        <f t="shared" si="10"/>
        <v>0.89839241536455505</v>
      </c>
      <c r="K40" s="128">
        <f t="shared" si="11"/>
        <v>512395.78903494356</v>
      </c>
      <c r="L40" s="128">
        <f t="shared" si="12"/>
        <v>4428008.7080930229</v>
      </c>
      <c r="M40" s="132">
        <f t="shared" si="20"/>
        <v>0.89628464848722045</v>
      </c>
      <c r="N40" s="128">
        <f t="shared" si="13"/>
        <v>1265414.4321673247</v>
      </c>
      <c r="O40" s="128">
        <f t="shared" si="21"/>
        <v>0</v>
      </c>
      <c r="P40" s="132">
        <f t="shared" si="22"/>
        <v>0</v>
      </c>
      <c r="Q40" s="128">
        <f t="shared" si="23"/>
        <v>3961095.732104016</v>
      </c>
      <c r="R40" s="128">
        <f t="shared" si="24"/>
        <v>23732149.738576919</v>
      </c>
      <c r="S40" s="132">
        <f t="shared" si="25"/>
        <v>0.85696527565547831</v>
      </c>
      <c r="T40" s="564">
        <f>Q40/ITA!B38*1000</f>
        <v>94.913541438979493</v>
      </c>
      <c r="U40" s="564"/>
      <c r="V40" s="462">
        <f>'FY 19 State Pmt'!BL39</f>
        <v>17287554.440000001</v>
      </c>
      <c r="W40" s="463">
        <f>'Prop Tax'!K38</f>
        <v>4641495.6863175193</v>
      </c>
      <c r="X40" s="533">
        <f t="shared" si="17"/>
        <v>21929050.12631752</v>
      </c>
      <c r="Y40" s="564"/>
      <c r="Z40" s="560">
        <f t="shared" si="26"/>
        <v>1803099.6122593991</v>
      </c>
      <c r="AA40" s="564"/>
      <c r="AB40" s="392">
        <f t="shared" si="27"/>
        <v>0</v>
      </c>
      <c r="AC40" s="581">
        <f t="shared" si="28"/>
        <v>23732149.738576919</v>
      </c>
      <c r="AD40" s="392">
        <f t="shared" si="19"/>
        <v>1803099.6122593991</v>
      </c>
      <c r="AE40" s="132">
        <f t="shared" si="29"/>
        <v>0.85696527565547831</v>
      </c>
      <c r="AF40" s="560">
        <f t="shared" si="30"/>
        <v>3961095.7321040221</v>
      </c>
      <c r="AG40" s="564">
        <f>AF40/ITA!B38*1000</f>
        <v>94.913541438979635</v>
      </c>
    </row>
    <row r="41" spans="1:33" x14ac:dyDescent="0.25">
      <c r="A41" s="123" t="s">
        <v>38</v>
      </c>
      <c r="B41" s="47">
        <v>656.05</v>
      </c>
      <c r="C41" s="73">
        <v>1.2589999999999999E-3</v>
      </c>
      <c r="D41" s="58">
        <f>'Total Inst. Cost'!G39</f>
        <v>4359259.7650853181</v>
      </c>
      <c r="E41" s="58">
        <f>Facilities!J49</f>
        <v>1006650.3457845399</v>
      </c>
      <c r="F41" s="58">
        <f>'District Services'!K48</f>
        <v>1143438.6625571724</v>
      </c>
      <c r="G41" s="434">
        <f t="shared" si="7"/>
        <v>6509348.773427031</v>
      </c>
      <c r="H41" s="58">
        <f t="shared" si="8"/>
        <v>1078366.5979699099</v>
      </c>
      <c r="I41" s="58">
        <f t="shared" si="9"/>
        <v>3280893.167115408</v>
      </c>
      <c r="J41" s="79">
        <f t="shared" si="10"/>
        <v>0.75262621268709717</v>
      </c>
      <c r="K41" s="58">
        <f t="shared" si="11"/>
        <v>253082.11000195917</v>
      </c>
      <c r="L41" s="58">
        <f t="shared" si="12"/>
        <v>753568.2357825808</v>
      </c>
      <c r="M41" s="79">
        <f t="shared" si="20"/>
        <v>0.74858985440002224</v>
      </c>
      <c r="N41" s="58">
        <f t="shared" si="13"/>
        <v>1143438.6625571724</v>
      </c>
      <c r="O41" s="58">
        <f t="shared" si="21"/>
        <v>0</v>
      </c>
      <c r="P41" s="79">
        <f t="shared" si="22"/>
        <v>0</v>
      </c>
      <c r="Q41" s="58">
        <f t="shared" si="23"/>
        <v>2474887.3705290416</v>
      </c>
      <c r="R41" s="58">
        <f t="shared" si="24"/>
        <v>4034461.4028979889</v>
      </c>
      <c r="S41" s="79">
        <f t="shared" si="25"/>
        <v>0.61979493545771902</v>
      </c>
      <c r="T41" s="565">
        <f>Q41/ITA!B39*1000</f>
        <v>120.07502000511963</v>
      </c>
      <c r="U41" s="565"/>
      <c r="V41" s="464">
        <f>'FY 19 State Pmt'!BL40</f>
        <v>3063475.7100000009</v>
      </c>
      <c r="W41" s="465">
        <f>'Prop Tax'!K39</f>
        <v>963938.42359478248</v>
      </c>
      <c r="X41" s="535">
        <f t="shared" si="17"/>
        <v>4027414.1335947835</v>
      </c>
      <c r="Y41" s="565"/>
      <c r="Z41" s="559">
        <f t="shared" si="26"/>
        <v>7047.2693032054231</v>
      </c>
      <c r="AA41" s="565"/>
      <c r="AB41" s="393">
        <f t="shared" si="27"/>
        <v>0</v>
      </c>
      <c r="AC41" s="582">
        <f t="shared" si="28"/>
        <v>4034461.4028979889</v>
      </c>
      <c r="AD41" s="393">
        <f t="shared" si="19"/>
        <v>7047.2693032054231</v>
      </c>
      <c r="AE41" s="79">
        <f t="shared" si="29"/>
        <v>0.61979493545771902</v>
      </c>
      <c r="AF41" s="559">
        <f t="shared" si="30"/>
        <v>2474887.3705290421</v>
      </c>
      <c r="AG41" s="565">
        <f>AF41/ITA!B39*1000</f>
        <v>120.07502000511965</v>
      </c>
    </row>
    <row r="42" spans="1:33" x14ac:dyDescent="0.25">
      <c r="A42" s="125" t="s">
        <v>39</v>
      </c>
      <c r="B42" s="126">
        <v>1181.8699999999999</v>
      </c>
      <c r="C42" s="127">
        <v>5.6999999999999998E-4</v>
      </c>
      <c r="D42" s="128">
        <f>'Total Inst. Cost'!G40</f>
        <v>7511964.4734300347</v>
      </c>
      <c r="E42" s="128">
        <f>Facilities!J50</f>
        <v>1745780.9869534641</v>
      </c>
      <c r="F42" s="128">
        <f>'District Services'!K49</f>
        <v>1165745.5718244168</v>
      </c>
      <c r="G42" s="433">
        <f t="shared" si="7"/>
        <v>10423491.032207916</v>
      </c>
      <c r="H42" s="128">
        <f t="shared" si="8"/>
        <v>488219.9847838353</v>
      </c>
      <c r="I42" s="128">
        <f t="shared" si="9"/>
        <v>7023744.488646199</v>
      </c>
      <c r="J42" s="132">
        <f t="shared" si="10"/>
        <v>0.93500768187726668</v>
      </c>
      <c r="K42" s="128">
        <f t="shared" si="11"/>
        <v>114580.46282852798</v>
      </c>
      <c r="L42" s="128">
        <f t="shared" si="12"/>
        <v>1631200.5241249362</v>
      </c>
      <c r="M42" s="132">
        <f t="shared" si="20"/>
        <v>0.93436721806182543</v>
      </c>
      <c r="N42" s="128">
        <f t="shared" si="13"/>
        <v>1165745.5718244168</v>
      </c>
      <c r="O42" s="128">
        <f t="shared" si="21"/>
        <v>0</v>
      </c>
      <c r="P42" s="132">
        <f t="shared" si="22"/>
        <v>0</v>
      </c>
      <c r="Q42" s="128">
        <f t="shared" si="23"/>
        <v>1768546.0194367799</v>
      </c>
      <c r="R42" s="128">
        <f t="shared" si="24"/>
        <v>8654945.0127711352</v>
      </c>
      <c r="S42" s="132">
        <f t="shared" si="25"/>
        <v>0.83033073909958888</v>
      </c>
      <c r="T42" s="564">
        <f>Q42/ITA!B40*1000</f>
        <v>189.43698772465052</v>
      </c>
      <c r="U42" s="564"/>
      <c r="V42" s="462">
        <f>'FY 19 State Pmt'!BL41</f>
        <v>6516311.75</v>
      </c>
      <c r="W42" s="463">
        <f>'Prop Tax'!K40</f>
        <v>1315242.0961248472</v>
      </c>
      <c r="X42" s="533">
        <f t="shared" si="17"/>
        <v>7831553.8461248474</v>
      </c>
      <c r="Y42" s="564"/>
      <c r="Z42" s="560">
        <f t="shared" si="26"/>
        <v>823391.16664628778</v>
      </c>
      <c r="AA42" s="564"/>
      <c r="AB42" s="392">
        <f t="shared" si="27"/>
        <v>0</v>
      </c>
      <c r="AC42" s="581">
        <f t="shared" si="28"/>
        <v>8654945.0127711352</v>
      </c>
      <c r="AD42" s="392">
        <f t="shared" si="19"/>
        <v>823391.16664628778</v>
      </c>
      <c r="AE42" s="132">
        <f t="shared" si="29"/>
        <v>0.83033073909958888</v>
      </c>
      <c r="AF42" s="560">
        <f t="shared" si="30"/>
        <v>1768546.0194367804</v>
      </c>
      <c r="AG42" s="564">
        <f>AF42/ITA!B40*1000</f>
        <v>189.43698772465055</v>
      </c>
    </row>
    <row r="43" spans="1:33" x14ac:dyDescent="0.25">
      <c r="A43" s="123" t="s">
        <v>40</v>
      </c>
      <c r="B43" s="47">
        <v>8929.7900000000009</v>
      </c>
      <c r="C43" s="73">
        <v>2.5146999999999999E-2</v>
      </c>
      <c r="D43" s="136">
        <f>'Total Inst. Cost'!G41</f>
        <v>54389047.963759944</v>
      </c>
      <c r="E43" s="136">
        <f>Facilities!J51</f>
        <v>12735430.750214107</v>
      </c>
      <c r="F43" s="136">
        <f>'District Services'!K50</f>
        <v>2403698.1471939194</v>
      </c>
      <c r="G43" s="432">
        <f t="shared" si="7"/>
        <v>69528176.861167982</v>
      </c>
      <c r="H43" s="136">
        <f t="shared" si="8"/>
        <v>21539066.591858082</v>
      </c>
      <c r="I43" s="136">
        <f t="shared" si="9"/>
        <v>32849981.371901862</v>
      </c>
      <c r="J43" s="79">
        <f t="shared" si="10"/>
        <v>0.60398154778863178</v>
      </c>
      <c r="K43" s="136">
        <f t="shared" si="11"/>
        <v>5055008.5942964796</v>
      </c>
      <c r="L43" s="136">
        <f t="shared" si="12"/>
        <v>7680422.1559176277</v>
      </c>
      <c r="M43" s="79">
        <f t="shared" si="20"/>
        <v>0.6030751771618329</v>
      </c>
      <c r="N43" s="136">
        <f t="shared" si="13"/>
        <v>2403698.1471939194</v>
      </c>
      <c r="O43" s="136">
        <f t="shared" si="21"/>
        <v>0</v>
      </c>
      <c r="P43" s="79">
        <f t="shared" si="22"/>
        <v>0</v>
      </c>
      <c r="Q43" s="136">
        <f t="shared" si="23"/>
        <v>28997773.333348479</v>
      </c>
      <c r="R43" s="136">
        <f t="shared" si="24"/>
        <v>40530403.527819492</v>
      </c>
      <c r="S43" s="79">
        <f t="shared" si="25"/>
        <v>0.58293493886298109</v>
      </c>
      <c r="T43" s="565">
        <f>Q43/ITA!B41*1000</f>
        <v>70.429122556026186</v>
      </c>
      <c r="U43" s="565"/>
      <c r="V43" s="464">
        <f>'FY 19 State Pmt'!BL42</f>
        <v>25547812.140000001</v>
      </c>
      <c r="W43" s="465">
        <f>'Prop Tax'!K41</f>
        <v>18178133.85067866</v>
      </c>
      <c r="X43" s="535">
        <f t="shared" si="17"/>
        <v>43725945.990678661</v>
      </c>
      <c r="Y43" s="565"/>
      <c r="Z43" s="559">
        <f t="shared" si="26"/>
        <v>-3195542.4628591686</v>
      </c>
      <c r="AA43" s="565"/>
      <c r="AB43" s="393">
        <f t="shared" si="27"/>
        <v>3195542.4628591686</v>
      </c>
      <c r="AC43" s="582">
        <f t="shared" si="28"/>
        <v>43725945.990678661</v>
      </c>
      <c r="AD43" s="393">
        <f t="shared" si="19"/>
        <v>0</v>
      </c>
      <c r="AE43" s="79">
        <f t="shared" si="29"/>
        <v>0.62889533372907891</v>
      </c>
      <c r="AF43" s="559">
        <f t="shared" si="30"/>
        <v>25802230.870489322</v>
      </c>
      <c r="AG43" s="565">
        <f>AF43/ITA!B41*1000</f>
        <v>62.667862780577579</v>
      </c>
    </row>
    <row r="44" spans="1:33" x14ac:dyDescent="0.25">
      <c r="A44" s="125" t="s">
        <v>41</v>
      </c>
      <c r="B44" s="126">
        <v>74161.66</v>
      </c>
      <c r="C44" s="127">
        <v>9.0574000000000002E-2</v>
      </c>
      <c r="D44" s="128">
        <f>'Total Inst. Cost'!G42</f>
        <v>439248598.18830931</v>
      </c>
      <c r="E44" s="128">
        <f>Facilities!J52</f>
        <v>102976071.05592912</v>
      </c>
      <c r="F44" s="128">
        <f>'District Services'!K51</f>
        <v>6315738.6643595546</v>
      </c>
      <c r="G44" s="433">
        <f t="shared" si="7"/>
        <v>548540407.90859795</v>
      </c>
      <c r="H44" s="128">
        <f t="shared" si="8"/>
        <v>77579012.108440533</v>
      </c>
      <c r="I44" s="128">
        <f t="shared" si="9"/>
        <v>361669586.07986879</v>
      </c>
      <c r="J44" s="132">
        <f t="shared" si="10"/>
        <v>0.82338244805238558</v>
      </c>
      <c r="K44" s="128">
        <f t="shared" si="11"/>
        <v>18207036.561808936</v>
      </c>
      <c r="L44" s="128">
        <f t="shared" si="12"/>
        <v>84769034.494120181</v>
      </c>
      <c r="M44" s="132">
        <f t="shared" si="20"/>
        <v>0.82319157863461112</v>
      </c>
      <c r="N44" s="128">
        <f t="shared" si="13"/>
        <v>6315738.6643595546</v>
      </c>
      <c r="O44" s="128">
        <f t="shared" si="21"/>
        <v>0</v>
      </c>
      <c r="P44" s="132">
        <f t="shared" si="22"/>
        <v>0</v>
      </c>
      <c r="Q44" s="128">
        <f t="shared" si="23"/>
        <v>102101787.33460902</v>
      </c>
      <c r="R44" s="128">
        <f t="shared" si="24"/>
        <v>446438620.57398897</v>
      </c>
      <c r="S44" s="132">
        <f t="shared" si="25"/>
        <v>0.8138664246743661</v>
      </c>
      <c r="T44" s="564">
        <f>Q44/ITA!B42*1000</f>
        <v>68.851162661616542</v>
      </c>
      <c r="U44" s="564"/>
      <c r="V44" s="462">
        <f>'FY 19 State Pmt'!BL43</f>
        <v>312192347.17000008</v>
      </c>
      <c r="W44" s="463">
        <f>'Prop Tax'!K42</f>
        <v>107192735.60479175</v>
      </c>
      <c r="X44" s="533">
        <f t="shared" si="17"/>
        <v>419385082.77479184</v>
      </c>
      <c r="Y44" s="564"/>
      <c r="Z44" s="560">
        <f t="shared" si="26"/>
        <v>27053537.799197137</v>
      </c>
      <c r="AA44" s="564"/>
      <c r="AB44" s="392">
        <f t="shared" si="27"/>
        <v>0</v>
      </c>
      <c r="AC44" s="581">
        <f t="shared" si="28"/>
        <v>446438620.57398897</v>
      </c>
      <c r="AD44" s="392">
        <f t="shared" si="19"/>
        <v>27053537.799197137</v>
      </c>
      <c r="AE44" s="132">
        <f t="shared" si="29"/>
        <v>0.8138664246743661</v>
      </c>
      <c r="AF44" s="560">
        <f t="shared" si="30"/>
        <v>102101787.33460897</v>
      </c>
      <c r="AG44" s="564">
        <f>AF44/ITA!B42*1000</f>
        <v>68.851162661616513</v>
      </c>
    </row>
    <row r="45" spans="1:33" x14ac:dyDescent="0.25">
      <c r="A45" s="123" t="s">
        <v>42</v>
      </c>
      <c r="B45" s="47">
        <v>8515.0300000000007</v>
      </c>
      <c r="C45" s="73">
        <v>8.4139999999999996E-3</v>
      </c>
      <c r="D45" s="58">
        <f>'Total Inst. Cost'!G43</f>
        <v>50989546.371860631</v>
      </c>
      <c r="E45" s="58">
        <f>Facilities!J53</f>
        <v>11945026.852032728</v>
      </c>
      <c r="F45" s="58">
        <f>'District Services'!K52</f>
        <v>2226411.9481925732</v>
      </c>
      <c r="G45" s="434">
        <f t="shared" si="7"/>
        <v>65160985.172085933</v>
      </c>
      <c r="H45" s="58">
        <f t="shared" si="8"/>
        <v>7206812.1964406846</v>
      </c>
      <c r="I45" s="58">
        <f t="shared" si="9"/>
        <v>43782734.175419949</v>
      </c>
      <c r="J45" s="79">
        <f t="shared" si="10"/>
        <v>0.85866098623662457</v>
      </c>
      <c r="K45" s="58">
        <f t="shared" si="11"/>
        <v>1691368.4460337446</v>
      </c>
      <c r="L45" s="58">
        <f t="shared" si="12"/>
        <v>10253658.405998984</v>
      </c>
      <c r="M45" s="79">
        <f t="shared" si="20"/>
        <v>0.85840396451298739</v>
      </c>
      <c r="N45" s="58">
        <f t="shared" si="13"/>
        <v>2226411.9481925732</v>
      </c>
      <c r="O45" s="58">
        <f t="shared" si="21"/>
        <v>0</v>
      </c>
      <c r="P45" s="79">
        <f t="shared" si="22"/>
        <v>0</v>
      </c>
      <c r="Q45" s="58">
        <f t="shared" si="23"/>
        <v>11124592.590667002</v>
      </c>
      <c r="R45" s="58">
        <f t="shared" si="24"/>
        <v>54036392.581418931</v>
      </c>
      <c r="S45" s="79">
        <f t="shared" si="25"/>
        <v>0.8292752547972122</v>
      </c>
      <c r="T45" s="565">
        <f>Q45/ITA!B43*1000</f>
        <v>80.757828953670455</v>
      </c>
      <c r="U45" s="565"/>
      <c r="V45" s="464">
        <f>'FY 19 State Pmt'!BL44</f>
        <v>38811652.43</v>
      </c>
      <c r="W45" s="465">
        <f>'Prop Tax'!K43</f>
        <v>14050315.503341394</v>
      </c>
      <c r="X45" s="535">
        <f t="shared" si="17"/>
        <v>52861967.933341391</v>
      </c>
      <c r="Y45" s="565"/>
      <c r="Z45" s="559">
        <f t="shared" si="26"/>
        <v>1174424.6480775401</v>
      </c>
      <c r="AA45" s="565"/>
      <c r="AB45" s="393">
        <f t="shared" si="27"/>
        <v>0</v>
      </c>
      <c r="AC45" s="582">
        <f t="shared" si="28"/>
        <v>54036392.581418931</v>
      </c>
      <c r="AD45" s="393">
        <f t="shared" si="19"/>
        <v>1174424.6480775401</v>
      </c>
      <c r="AE45" s="79">
        <f t="shared" si="29"/>
        <v>0.8292752547972122</v>
      </c>
      <c r="AF45" s="559">
        <f t="shared" si="30"/>
        <v>11124592.590667002</v>
      </c>
      <c r="AG45" s="565">
        <f>AF45/ITA!B43*1000</f>
        <v>80.757828953670455</v>
      </c>
    </row>
    <row r="46" spans="1:33" x14ac:dyDescent="0.25">
      <c r="A46" s="125" t="s">
        <v>43</v>
      </c>
      <c r="B46" s="126">
        <v>898.58</v>
      </c>
      <c r="C46" s="127">
        <v>5.5699999999999999E-4</v>
      </c>
      <c r="D46" s="128">
        <f>'Total Inst. Cost'!G44</f>
        <v>5648913.7126899865</v>
      </c>
      <c r="E46" s="128">
        <f>Facilities!J54</f>
        <v>1307510.4353942501</v>
      </c>
      <c r="F46" s="128">
        <f>'District Services'!K53</f>
        <v>1152018.4346966522</v>
      </c>
      <c r="G46" s="433">
        <f t="shared" si="7"/>
        <v>8108442.5827808883</v>
      </c>
      <c r="H46" s="128">
        <f t="shared" si="8"/>
        <v>477085.14302560751</v>
      </c>
      <c r="I46" s="128">
        <f t="shared" si="9"/>
        <v>5171828.5696643787</v>
      </c>
      <c r="J46" s="132">
        <f t="shared" si="10"/>
        <v>0.91554391387606771</v>
      </c>
      <c r="K46" s="128">
        <f t="shared" si="11"/>
        <v>111967.22420261419</v>
      </c>
      <c r="L46" s="128">
        <f t="shared" si="12"/>
        <v>1195543.2111916358</v>
      </c>
      <c r="M46" s="132">
        <f t="shared" si="20"/>
        <v>0.91436609515942169</v>
      </c>
      <c r="N46" s="128">
        <f t="shared" si="13"/>
        <v>1152018.4346966522</v>
      </c>
      <c r="O46" s="128">
        <f t="shared" si="21"/>
        <v>0</v>
      </c>
      <c r="P46" s="132">
        <f t="shared" si="22"/>
        <v>0</v>
      </c>
      <c r="Q46" s="128">
        <f t="shared" si="23"/>
        <v>1741070.8019248741</v>
      </c>
      <c r="R46" s="128">
        <f t="shared" si="24"/>
        <v>6367371.7808560142</v>
      </c>
      <c r="S46" s="132">
        <f t="shared" si="25"/>
        <v>0.78527679216447599</v>
      </c>
      <c r="T46" s="564">
        <f>Q46/ITA!B44*1000</f>
        <v>190.7824382894178</v>
      </c>
      <c r="U46" s="564"/>
      <c r="V46" s="462">
        <f>'FY 19 State Pmt'!BL45</f>
        <v>4824796.6100000003</v>
      </c>
      <c r="W46" s="463">
        <f>'Prop Tax'!K44</f>
        <v>1374918.1913816843</v>
      </c>
      <c r="X46" s="533">
        <f t="shared" si="17"/>
        <v>6199714.8013816848</v>
      </c>
      <c r="Y46" s="564"/>
      <c r="Z46" s="560">
        <f t="shared" si="26"/>
        <v>167656.97947432939</v>
      </c>
      <c r="AA46" s="564"/>
      <c r="AB46" s="392">
        <f t="shared" si="27"/>
        <v>0</v>
      </c>
      <c r="AC46" s="581">
        <f t="shared" si="28"/>
        <v>6367371.7808560142</v>
      </c>
      <c r="AD46" s="392">
        <f t="shared" si="19"/>
        <v>167656.97947432939</v>
      </c>
      <c r="AE46" s="132">
        <f t="shared" si="29"/>
        <v>0.78527679216447599</v>
      </c>
      <c r="AF46" s="560">
        <f t="shared" si="30"/>
        <v>1741070.8019248741</v>
      </c>
      <c r="AG46" s="564">
        <f>AF46/ITA!B44*1000</f>
        <v>190.7824382894178</v>
      </c>
    </row>
    <row r="47" spans="1:33" x14ac:dyDescent="0.25">
      <c r="A47" s="123" t="s">
        <v>44</v>
      </c>
      <c r="B47" s="47">
        <v>1516.32</v>
      </c>
      <c r="C47" s="73">
        <v>2.9510000000000001E-3</v>
      </c>
      <c r="D47" s="136">
        <f>'Total Inst. Cost'!G45</f>
        <v>8926769.2633693255</v>
      </c>
      <c r="E47" s="136">
        <f>Facilities!J55</f>
        <v>2098667.9578444017</v>
      </c>
      <c r="F47" s="136">
        <f>'District Services'!K54</f>
        <v>1174931.8027035149</v>
      </c>
      <c r="G47" s="432">
        <f t="shared" si="7"/>
        <v>12200369.023917243</v>
      </c>
      <c r="H47" s="136">
        <f t="shared" si="8"/>
        <v>2527609.0791177158</v>
      </c>
      <c r="I47" s="136">
        <f t="shared" si="9"/>
        <v>6399160.1842516102</v>
      </c>
      <c r="J47" s="79">
        <f t="shared" si="10"/>
        <v>0.71685063156167061</v>
      </c>
      <c r="K47" s="136">
        <f t="shared" si="11"/>
        <v>593205.16808243177</v>
      </c>
      <c r="L47" s="136">
        <f t="shared" si="12"/>
        <v>1505462.7897619698</v>
      </c>
      <c r="M47" s="79">
        <f t="shared" si="20"/>
        <v>0.7173420569627752</v>
      </c>
      <c r="N47" s="136">
        <f t="shared" si="13"/>
        <v>1174931.8027035149</v>
      </c>
      <c r="O47" s="136">
        <f t="shared" si="21"/>
        <v>0</v>
      </c>
      <c r="P47" s="79">
        <f t="shared" si="22"/>
        <v>0</v>
      </c>
      <c r="Q47" s="136">
        <f t="shared" si="23"/>
        <v>4295746.0499036629</v>
      </c>
      <c r="R47" s="136">
        <f t="shared" si="24"/>
        <v>7904622.97401358</v>
      </c>
      <c r="S47" s="79">
        <f t="shared" si="25"/>
        <v>0.64790031830328987</v>
      </c>
      <c r="T47" s="565">
        <f>Q47/ITA!B45*1000</f>
        <v>88.923400607510729</v>
      </c>
      <c r="U47" s="565"/>
      <c r="V47" s="464">
        <f>'FY 19 State Pmt'!BL46</f>
        <v>6186039.8999999994</v>
      </c>
      <c r="W47" s="465">
        <f>'Prop Tax'!K45</f>
        <v>2968849.4208436767</v>
      </c>
      <c r="X47" s="535">
        <f t="shared" si="17"/>
        <v>9154889.3208436761</v>
      </c>
      <c r="Y47" s="565"/>
      <c r="Z47" s="559">
        <f t="shared" si="26"/>
        <v>-1250266.3468300961</v>
      </c>
      <c r="AA47" s="565"/>
      <c r="AB47" s="393">
        <f t="shared" si="27"/>
        <v>1250266.3468300961</v>
      </c>
      <c r="AC47" s="582">
        <f t="shared" si="28"/>
        <v>9154889.3208436761</v>
      </c>
      <c r="AD47" s="393">
        <f t="shared" si="19"/>
        <v>0</v>
      </c>
      <c r="AE47" s="79">
        <f t="shared" si="29"/>
        <v>0.75037806667131968</v>
      </c>
      <c r="AF47" s="559">
        <f t="shared" si="30"/>
        <v>3045479.7030735668</v>
      </c>
      <c r="AG47" s="565">
        <f>AF47/ITA!B45*1000</f>
        <v>63.042463062854218</v>
      </c>
    </row>
    <row r="48" spans="1:33" x14ac:dyDescent="0.25">
      <c r="A48" s="125" t="s">
        <v>45</v>
      </c>
      <c r="B48" s="126">
        <v>2087.65</v>
      </c>
      <c r="C48" s="127">
        <v>1.565E-3</v>
      </c>
      <c r="D48" s="128">
        <f>'Total Inst. Cost'!G46</f>
        <v>12490916.49882987</v>
      </c>
      <c r="E48" s="128">
        <f>Facilities!J56</f>
        <v>2940462.4863311071</v>
      </c>
      <c r="F48" s="128">
        <f>'District Services'!K55</f>
        <v>1200820.2096142164</v>
      </c>
      <c r="G48" s="433">
        <f t="shared" si="7"/>
        <v>16632199.194775194</v>
      </c>
      <c r="H48" s="128">
        <f t="shared" si="8"/>
        <v>1340463.642432811</v>
      </c>
      <c r="I48" s="128">
        <f t="shared" si="9"/>
        <v>11150452.856397059</v>
      </c>
      <c r="J48" s="132">
        <f t="shared" si="10"/>
        <v>0.89268492487653861</v>
      </c>
      <c r="K48" s="128">
        <f t="shared" si="11"/>
        <v>314593.72688885313</v>
      </c>
      <c r="L48" s="128">
        <f t="shared" si="12"/>
        <v>2625868.759442254</v>
      </c>
      <c r="M48" s="132">
        <f t="shared" si="20"/>
        <v>0.89301216106267012</v>
      </c>
      <c r="N48" s="128">
        <f t="shared" si="13"/>
        <v>1200820.2096142164</v>
      </c>
      <c r="O48" s="128">
        <f t="shared" si="21"/>
        <v>0</v>
      </c>
      <c r="P48" s="132">
        <f t="shared" si="22"/>
        <v>0</v>
      </c>
      <c r="Q48" s="128">
        <f t="shared" si="23"/>
        <v>2855877.5789358802</v>
      </c>
      <c r="R48" s="128">
        <f t="shared" si="24"/>
        <v>13776321.615839314</v>
      </c>
      <c r="S48" s="132">
        <f t="shared" si="25"/>
        <v>0.8282922453313919</v>
      </c>
      <c r="T48" s="564">
        <f>Q48/ITA!B46*1000</f>
        <v>111.45973350130599</v>
      </c>
      <c r="U48" s="564"/>
      <c r="V48" s="462">
        <f>'FY 19 State Pmt'!BL47</f>
        <v>10893818.889999999</v>
      </c>
      <c r="W48" s="463">
        <f>'Prop Tax'!K46</f>
        <v>3170449.9538453948</v>
      </c>
      <c r="X48" s="533">
        <f t="shared" si="17"/>
        <v>14064268.843845394</v>
      </c>
      <c r="Y48" s="564"/>
      <c r="Z48" s="560">
        <f t="shared" si="26"/>
        <v>-287947.22800607979</v>
      </c>
      <c r="AA48" s="564"/>
      <c r="AB48" s="392">
        <f t="shared" si="27"/>
        <v>287947.22800607979</v>
      </c>
      <c r="AC48" s="581">
        <f t="shared" si="28"/>
        <v>14064268.843845394</v>
      </c>
      <c r="AD48" s="392">
        <f t="shared" si="19"/>
        <v>0</v>
      </c>
      <c r="AE48" s="132">
        <f t="shared" si="29"/>
        <v>0.84560488238161047</v>
      </c>
      <c r="AF48" s="560">
        <f t="shared" si="30"/>
        <v>2567930.3509298004</v>
      </c>
      <c r="AG48" s="564">
        <f>AF48/ITA!B46*1000</f>
        <v>100.22167430271945</v>
      </c>
    </row>
    <row r="49" spans="1:33" x14ac:dyDescent="0.25">
      <c r="A49" s="123" t="s">
        <v>46</v>
      </c>
      <c r="B49" s="47">
        <v>662.1</v>
      </c>
      <c r="C49" s="73">
        <v>7.6499999999999995E-4</v>
      </c>
      <c r="D49" s="58">
        <f>'Total Inst. Cost'!G47</f>
        <v>4295635.3025124501</v>
      </c>
      <c r="E49" s="58">
        <f>Facilities!J57</f>
        <v>999962.20649067266</v>
      </c>
      <c r="F49" s="58">
        <f>'District Services'!K56</f>
        <v>1143047.1204426477</v>
      </c>
      <c r="G49" s="434">
        <f t="shared" si="7"/>
        <v>6438644.6294457708</v>
      </c>
      <c r="H49" s="58">
        <f t="shared" si="8"/>
        <v>655242.61115725269</v>
      </c>
      <c r="I49" s="58">
        <f t="shared" si="9"/>
        <v>3640392.6913551977</v>
      </c>
      <c r="J49" s="79">
        <f t="shared" si="10"/>
        <v>0.84746316551267487</v>
      </c>
      <c r="K49" s="58">
        <f t="shared" si="11"/>
        <v>153779.04221723491</v>
      </c>
      <c r="L49" s="58">
        <f t="shared" si="12"/>
        <v>846183.16427343781</v>
      </c>
      <c r="M49" s="79">
        <f t="shared" si="20"/>
        <v>0.84621514571344025</v>
      </c>
      <c r="N49" s="58">
        <f t="shared" si="13"/>
        <v>1143047.1204426477</v>
      </c>
      <c r="O49" s="58">
        <f t="shared" si="21"/>
        <v>0</v>
      </c>
      <c r="P49" s="79">
        <f t="shared" si="22"/>
        <v>0</v>
      </c>
      <c r="Q49" s="58">
        <f t="shared" si="23"/>
        <v>1952068.7738171353</v>
      </c>
      <c r="R49" s="58">
        <f t="shared" si="24"/>
        <v>4486575.8556286357</v>
      </c>
      <c r="S49" s="79">
        <f t="shared" si="25"/>
        <v>0.69681992311087271</v>
      </c>
      <c r="T49" s="565">
        <f>Q49/ITA!B47*1000</f>
        <v>155.88924122763683</v>
      </c>
      <c r="U49" s="565"/>
      <c r="V49" s="464">
        <f>'FY 19 State Pmt'!BL48</f>
        <v>3627758.8199999989</v>
      </c>
      <c r="W49" s="465">
        <f>'Prop Tax'!K47</f>
        <v>1585720.2533301685</v>
      </c>
      <c r="X49" s="535">
        <f t="shared" si="17"/>
        <v>5213479.0733301677</v>
      </c>
      <c r="Y49" s="565"/>
      <c r="Z49" s="559">
        <f t="shared" si="26"/>
        <v>-726903.21770153195</v>
      </c>
      <c r="AA49" s="565"/>
      <c r="AB49" s="393">
        <f t="shared" si="27"/>
        <v>726903.21770153195</v>
      </c>
      <c r="AC49" s="582">
        <f t="shared" si="28"/>
        <v>5213479.0733301677</v>
      </c>
      <c r="AD49" s="393">
        <f t="shared" si="19"/>
        <v>0</v>
      </c>
      <c r="AE49" s="79">
        <f t="shared" si="29"/>
        <v>0.80971685399244286</v>
      </c>
      <c r="AF49" s="559">
        <f t="shared" si="30"/>
        <v>1225165.5561156031</v>
      </c>
      <c r="AG49" s="565">
        <f>AF49/ITA!B47*1000</f>
        <v>97.839856608960105</v>
      </c>
    </row>
    <row r="50" spans="1:33" x14ac:dyDescent="0.25">
      <c r="A50" s="125" t="s">
        <v>47</v>
      </c>
      <c r="B50" s="126">
        <v>43529.94</v>
      </c>
      <c r="C50" s="127">
        <v>9.9572999999999995E-2</v>
      </c>
      <c r="D50" s="128">
        <f>'Total Inst. Cost'!G48</f>
        <v>259925256.60418406</v>
      </c>
      <c r="E50" s="128">
        <f>Facilities!J58</f>
        <v>61206925.01893384</v>
      </c>
      <c r="F50" s="128">
        <f>'District Services'!K57</f>
        <v>5071243.6453510327</v>
      </c>
      <c r="G50" s="433">
        <f t="shared" si="7"/>
        <v>326203425.26846898</v>
      </c>
      <c r="H50" s="128">
        <f t="shared" si="8"/>
        <v>85286892.184001461</v>
      </c>
      <c r="I50" s="128">
        <f t="shared" si="9"/>
        <v>174638364.42018259</v>
      </c>
      <c r="J50" s="132">
        <f t="shared" si="10"/>
        <v>0.6718791651944892</v>
      </c>
      <c r="K50" s="128">
        <f t="shared" si="11"/>
        <v>20016000.746008802</v>
      </c>
      <c r="L50" s="128">
        <f t="shared" si="12"/>
        <v>41190924.272925034</v>
      </c>
      <c r="M50" s="132">
        <f t="shared" si="20"/>
        <v>0.67297816807792543</v>
      </c>
      <c r="N50" s="128">
        <f t="shared" si="13"/>
        <v>5071243.6453510327</v>
      </c>
      <c r="O50" s="128">
        <f t="shared" si="21"/>
        <v>0</v>
      </c>
      <c r="P50" s="132">
        <f t="shared" si="22"/>
        <v>0</v>
      </c>
      <c r="Q50" s="128">
        <f t="shared" si="23"/>
        <v>110374136.5753613</v>
      </c>
      <c r="R50" s="128">
        <f t="shared" si="24"/>
        <v>215829288.6931076</v>
      </c>
      <c r="S50" s="132">
        <f t="shared" si="25"/>
        <v>0.66164016676243587</v>
      </c>
      <c r="T50" s="564">
        <f>Q50/ITA!B48*1000</f>
        <v>67.702759055866778</v>
      </c>
      <c r="U50" s="564"/>
      <c r="V50" s="462">
        <f>'FY 19 State Pmt'!BL49</f>
        <v>148180881.41999999</v>
      </c>
      <c r="W50" s="463">
        <f>'Prop Tax'!K48</f>
        <v>54556587.447544195</v>
      </c>
      <c r="X50" s="533">
        <f t="shared" si="17"/>
        <v>202737468.86754417</v>
      </c>
      <c r="Y50" s="564"/>
      <c r="Z50" s="560">
        <f t="shared" si="26"/>
        <v>13091819.825563431</v>
      </c>
      <c r="AA50" s="564"/>
      <c r="AB50" s="392">
        <f t="shared" si="27"/>
        <v>0</v>
      </c>
      <c r="AC50" s="581">
        <f t="shared" si="28"/>
        <v>215829288.6931076</v>
      </c>
      <c r="AD50" s="392">
        <f t="shared" si="19"/>
        <v>13091819.825563431</v>
      </c>
      <c r="AE50" s="132">
        <f t="shared" si="29"/>
        <v>0.66164016676243587</v>
      </c>
      <c r="AF50" s="560">
        <f t="shared" si="30"/>
        <v>110374136.57536137</v>
      </c>
      <c r="AG50" s="564">
        <f>AF50/ITA!B48*1000</f>
        <v>67.702759055866835</v>
      </c>
    </row>
    <row r="51" spans="1:33" x14ac:dyDescent="0.25">
      <c r="A51" s="123" t="s">
        <v>48</v>
      </c>
      <c r="B51" s="47">
        <v>2404.8000000000002</v>
      </c>
      <c r="C51" s="73">
        <v>6.2599999999999999E-3</v>
      </c>
      <c r="D51" s="136">
        <f>'Total Inst. Cost'!G49</f>
        <v>15030572.768357413</v>
      </c>
      <c r="E51" s="136">
        <f>Facilities!J59</f>
        <v>3457626.2679540794</v>
      </c>
      <c r="F51" s="136">
        <f>'District Services'!K58</f>
        <v>1217319.1182682149</v>
      </c>
      <c r="G51" s="432">
        <f t="shared" si="7"/>
        <v>19705518.154579706</v>
      </c>
      <c r="H51" s="136">
        <f t="shared" si="8"/>
        <v>5361854.5697312439</v>
      </c>
      <c r="I51" s="136">
        <f t="shared" si="9"/>
        <v>9668718.1986261681</v>
      </c>
      <c r="J51" s="79">
        <f t="shared" si="10"/>
        <v>0.64327011003738321</v>
      </c>
      <c r="K51" s="136">
        <f t="shared" si="11"/>
        <v>1258374.9075554125</v>
      </c>
      <c r="L51" s="136">
        <f t="shared" si="12"/>
        <v>2199251.3603986669</v>
      </c>
      <c r="M51" s="79">
        <f t="shared" si="20"/>
        <v>0.63605814797907334</v>
      </c>
      <c r="N51" s="136">
        <f t="shared" si="13"/>
        <v>1217319.1182682149</v>
      </c>
      <c r="O51" s="136">
        <f t="shared" si="21"/>
        <v>0</v>
      </c>
      <c r="P51" s="79">
        <f t="shared" si="22"/>
        <v>0</v>
      </c>
      <c r="Q51" s="136">
        <f t="shared" si="23"/>
        <v>7837548.5955548715</v>
      </c>
      <c r="R51" s="136">
        <f t="shared" si="24"/>
        <v>11867969.559024835</v>
      </c>
      <c r="S51" s="79">
        <f t="shared" si="25"/>
        <v>0.60226630256188585</v>
      </c>
      <c r="T51" s="565">
        <f>Q51/ITA!B49*1000</f>
        <v>76.467906845864817</v>
      </c>
      <c r="U51" s="565"/>
      <c r="V51" s="464">
        <f>'FY 19 State Pmt'!BL50</f>
        <v>8705314.7899999991</v>
      </c>
      <c r="W51" s="465">
        <f>'Prop Tax'!K49</f>
        <v>3930111.2477237014</v>
      </c>
      <c r="X51" s="535">
        <f t="shared" si="17"/>
        <v>12635426.037723701</v>
      </c>
      <c r="Y51" s="565"/>
      <c r="Z51" s="559">
        <f t="shared" si="26"/>
        <v>-767456.47869886644</v>
      </c>
      <c r="AA51" s="565"/>
      <c r="AB51" s="393">
        <f t="shared" si="27"/>
        <v>767456.47869886644</v>
      </c>
      <c r="AC51" s="582">
        <f t="shared" si="28"/>
        <v>12635426.037723701</v>
      </c>
      <c r="AD51" s="393">
        <f t="shared" si="19"/>
        <v>0</v>
      </c>
      <c r="AE51" s="79">
        <f t="shared" si="29"/>
        <v>0.641212575005907</v>
      </c>
      <c r="AF51" s="559">
        <f t="shared" si="30"/>
        <v>7070092.116856005</v>
      </c>
      <c r="AG51" s="565">
        <f>AF51/ITA!B49*1000</f>
        <v>68.980133110760391</v>
      </c>
    </row>
    <row r="52" spans="1:33" x14ac:dyDescent="0.25">
      <c r="A52" s="125" t="s">
        <v>49</v>
      </c>
      <c r="B52" s="126">
        <v>10525.82</v>
      </c>
      <c r="C52" s="127">
        <v>8.7250000000000001E-3</v>
      </c>
      <c r="D52" s="128">
        <f>'Total Inst. Cost'!G50</f>
        <v>62579152.539829418</v>
      </c>
      <c r="E52" s="128">
        <f>Facilities!J60</f>
        <v>14655736.876247827</v>
      </c>
      <c r="F52" s="128">
        <f>'District Services'!K59</f>
        <v>2759302.2922234498</v>
      </c>
      <c r="G52" s="433">
        <f t="shared" si="7"/>
        <v>79994191.708300695</v>
      </c>
      <c r="H52" s="128">
        <f t="shared" si="8"/>
        <v>7473191.8723490583</v>
      </c>
      <c r="I52" s="128">
        <f t="shared" si="9"/>
        <v>55105960.667480357</v>
      </c>
      <c r="J52" s="132">
        <f t="shared" si="10"/>
        <v>0.88058016817034013</v>
      </c>
      <c r="K52" s="128">
        <f t="shared" si="11"/>
        <v>1753885.1546998362</v>
      </c>
      <c r="L52" s="128">
        <f t="shared" si="12"/>
        <v>12901851.721547991</v>
      </c>
      <c r="M52" s="132">
        <f t="shared" si="20"/>
        <v>0.88032773994855817</v>
      </c>
      <c r="N52" s="128">
        <f t="shared" si="13"/>
        <v>2759302.2922234498</v>
      </c>
      <c r="O52" s="128">
        <f t="shared" si="21"/>
        <v>0</v>
      </c>
      <c r="P52" s="132">
        <f t="shared" si="22"/>
        <v>0</v>
      </c>
      <c r="Q52" s="128">
        <f t="shared" si="23"/>
        <v>11986379.319272345</v>
      </c>
      <c r="R52" s="128">
        <f t="shared" si="24"/>
        <v>68007812.389028341</v>
      </c>
      <c r="S52" s="132">
        <f t="shared" si="25"/>
        <v>0.85015937953369469</v>
      </c>
      <c r="T52" s="564">
        <f>Q52/ITA!B50*1000</f>
        <v>83.909297097221838</v>
      </c>
      <c r="U52" s="564"/>
      <c r="V52" s="462">
        <f>'FY 19 State Pmt'!BL51</f>
        <v>49922078.980000004</v>
      </c>
      <c r="W52" s="463">
        <f>'Prop Tax'!K50</f>
        <v>15366186.393296137</v>
      </c>
      <c r="X52" s="533">
        <f t="shared" si="17"/>
        <v>65288265.373296142</v>
      </c>
      <c r="Y52" s="564"/>
      <c r="Z52" s="560">
        <f t="shared" si="26"/>
        <v>2719547.015732199</v>
      </c>
      <c r="AA52" s="564"/>
      <c r="AB52" s="392">
        <f t="shared" si="27"/>
        <v>0</v>
      </c>
      <c r="AC52" s="581">
        <f t="shared" si="28"/>
        <v>68007812.389028341</v>
      </c>
      <c r="AD52" s="392">
        <f t="shared" si="19"/>
        <v>2719547.015732199</v>
      </c>
      <c r="AE52" s="132">
        <f t="shared" si="29"/>
        <v>0.85015937953369469</v>
      </c>
      <c r="AF52" s="560">
        <f t="shared" si="30"/>
        <v>11986379.319272354</v>
      </c>
      <c r="AG52" s="564">
        <f>AF52/ITA!B50*1000</f>
        <v>83.909297097221909</v>
      </c>
    </row>
    <row r="53" spans="1:33" x14ac:dyDescent="0.25">
      <c r="A53" s="123" t="s">
        <v>50</v>
      </c>
      <c r="B53" s="47">
        <v>13258.42</v>
      </c>
      <c r="C53" s="73">
        <v>1.2120000000000001E-2</v>
      </c>
      <c r="D53" s="58">
        <f>'Total Inst. Cost'!G51</f>
        <v>77889996.458737433</v>
      </c>
      <c r="E53" s="58">
        <f>Facilities!J61</f>
        <v>18358153.718373217</v>
      </c>
      <c r="F53" s="58">
        <f>'District Services'!K60</f>
        <v>3623520.8927567909</v>
      </c>
      <c r="G53" s="434">
        <f t="shared" si="7"/>
        <v>99871671.069867432</v>
      </c>
      <c r="H53" s="58">
        <f t="shared" si="8"/>
        <v>10381098.62382471</v>
      </c>
      <c r="I53" s="58">
        <f t="shared" si="9"/>
        <v>67508897.834912717</v>
      </c>
      <c r="J53" s="79">
        <f t="shared" si="10"/>
        <v>0.86672102842726217</v>
      </c>
      <c r="K53" s="58">
        <f t="shared" si="11"/>
        <v>2436342.472775016</v>
      </c>
      <c r="L53" s="58">
        <f t="shared" si="12"/>
        <v>15921811.245598201</v>
      </c>
      <c r="M53" s="79">
        <f t="shared" si="20"/>
        <v>0.86728826274416282</v>
      </c>
      <c r="N53" s="58">
        <f t="shared" si="13"/>
        <v>3623520.8927567909</v>
      </c>
      <c r="O53" s="58">
        <f t="shared" si="21"/>
        <v>0</v>
      </c>
      <c r="P53" s="79">
        <f t="shared" si="22"/>
        <v>0</v>
      </c>
      <c r="Q53" s="58">
        <f t="shared" si="23"/>
        <v>16440961.989356518</v>
      </c>
      <c r="R53" s="58">
        <f t="shared" si="24"/>
        <v>83430709.080510914</v>
      </c>
      <c r="S53" s="79">
        <f t="shared" si="25"/>
        <v>0.83537912389735747</v>
      </c>
      <c r="T53" s="565">
        <f>Q53/ITA!B51*1000</f>
        <v>82.850787595570736</v>
      </c>
      <c r="U53" s="565"/>
      <c r="V53" s="464">
        <f>'FY 19 State Pmt'!BL52</f>
        <v>59816227.270000026</v>
      </c>
      <c r="W53" s="465">
        <f>'Prop Tax'!K51</f>
        <v>16083032.14527007</v>
      </c>
      <c r="X53" s="535">
        <f t="shared" si="17"/>
        <v>75899259.41527009</v>
      </c>
      <c r="Y53" s="565"/>
      <c r="Z53" s="559">
        <f t="shared" si="26"/>
        <v>7531449.6652408242</v>
      </c>
      <c r="AA53" s="565"/>
      <c r="AB53" s="393">
        <f t="shared" si="27"/>
        <v>0</v>
      </c>
      <c r="AC53" s="582">
        <f t="shared" si="28"/>
        <v>83430709.080510914</v>
      </c>
      <c r="AD53" s="393">
        <f t="shared" si="19"/>
        <v>7531449.6652408242</v>
      </c>
      <c r="AE53" s="79">
        <f t="shared" si="29"/>
        <v>0.83537912389735747</v>
      </c>
      <c r="AF53" s="559">
        <f t="shared" si="30"/>
        <v>16440961.989356518</v>
      </c>
      <c r="AG53" s="565">
        <f>AF53/ITA!B51*1000</f>
        <v>82.850787595570736</v>
      </c>
    </row>
    <row r="54" spans="1:33" x14ac:dyDescent="0.25">
      <c r="A54" s="125" t="s">
        <v>51</v>
      </c>
      <c r="B54" s="126">
        <v>5388.16</v>
      </c>
      <c r="C54" s="127">
        <v>4.4650000000000002E-3</v>
      </c>
      <c r="D54" s="128">
        <f>'Total Inst. Cost'!G52</f>
        <v>33626901.71245192</v>
      </c>
      <c r="E54" s="128">
        <f>Facilities!J62</f>
        <v>7772001.6417559087</v>
      </c>
      <c r="F54" s="128">
        <f>'District Services'!K61</f>
        <v>1349034.3350494609</v>
      </c>
      <c r="G54" s="433">
        <f t="shared" si="7"/>
        <v>42747937.689257286</v>
      </c>
      <c r="H54" s="128">
        <f t="shared" si="8"/>
        <v>3824389.8808067106</v>
      </c>
      <c r="I54" s="128">
        <f t="shared" si="9"/>
        <v>29802511.831645209</v>
      </c>
      <c r="J54" s="132">
        <f t="shared" si="10"/>
        <v>0.886269930143741</v>
      </c>
      <c r="K54" s="128">
        <f t="shared" si="11"/>
        <v>897546.95882346923</v>
      </c>
      <c r="L54" s="128">
        <f t="shared" si="12"/>
        <v>6874454.6829324393</v>
      </c>
      <c r="M54" s="132">
        <f t="shared" si="20"/>
        <v>0.88451534106718366</v>
      </c>
      <c r="N54" s="128">
        <f t="shared" si="13"/>
        <v>1349034.3350494609</v>
      </c>
      <c r="O54" s="128">
        <f t="shared" si="21"/>
        <v>0</v>
      </c>
      <c r="P54" s="132">
        <f t="shared" si="22"/>
        <v>0</v>
      </c>
      <c r="Q54" s="128">
        <f t="shared" si="23"/>
        <v>6070971.1746796407</v>
      </c>
      <c r="R54" s="128">
        <f t="shared" si="24"/>
        <v>36676966.51457765</v>
      </c>
      <c r="S54" s="132">
        <f t="shared" si="25"/>
        <v>0.85798212725931589</v>
      </c>
      <c r="T54" s="564">
        <f>Q54/ITA!B52*1000</f>
        <v>83.043733405173242</v>
      </c>
      <c r="U54" s="564"/>
      <c r="V54" s="462">
        <f>'FY 19 State Pmt'!BL53</f>
        <v>27442931.940000001</v>
      </c>
      <c r="W54" s="463">
        <f>'Prop Tax'!K52</f>
        <v>7563163.644267695</v>
      </c>
      <c r="X54" s="533">
        <f t="shared" si="17"/>
        <v>35006095.584267698</v>
      </c>
      <c r="Y54" s="564"/>
      <c r="Z54" s="560">
        <f t="shared" si="26"/>
        <v>1670870.9303099513</v>
      </c>
      <c r="AA54" s="564"/>
      <c r="AB54" s="392">
        <f t="shared" si="27"/>
        <v>0</v>
      </c>
      <c r="AC54" s="581">
        <f t="shared" si="28"/>
        <v>36676966.51457765</v>
      </c>
      <c r="AD54" s="392">
        <f t="shared" si="19"/>
        <v>1670870.9303099513</v>
      </c>
      <c r="AE54" s="132">
        <f t="shared" si="29"/>
        <v>0.85798212725931589</v>
      </c>
      <c r="AF54" s="560">
        <f t="shared" si="30"/>
        <v>6070971.174679637</v>
      </c>
      <c r="AG54" s="564">
        <f>AF54/ITA!B52*1000</f>
        <v>83.043733405173185</v>
      </c>
    </row>
    <row r="55" spans="1:33" x14ac:dyDescent="0.25">
      <c r="A55" s="123" t="s">
        <v>52</v>
      </c>
      <c r="B55" s="47">
        <v>2979.52</v>
      </c>
      <c r="C55" s="73">
        <v>2.3730000000000001E-3</v>
      </c>
      <c r="D55" s="136">
        <f>'Total Inst. Cost'!G53</f>
        <v>19091765.19578898</v>
      </c>
      <c r="E55" s="136">
        <f>Facilities!J63</f>
        <v>4427579.6172468383</v>
      </c>
      <c r="F55" s="136">
        <f>'District Services'!K62</f>
        <v>1248616.053971905</v>
      </c>
      <c r="G55" s="432">
        <f t="shared" si="7"/>
        <v>24767960.867007721</v>
      </c>
      <c r="H55" s="136">
        <f t="shared" si="8"/>
        <v>2032536.884021125</v>
      </c>
      <c r="I55" s="136">
        <f t="shared" si="9"/>
        <v>17059228.311767854</v>
      </c>
      <c r="J55" s="79">
        <f t="shared" si="10"/>
        <v>0.89353855637877644</v>
      </c>
      <c r="K55" s="136">
        <f t="shared" si="11"/>
        <v>477016.55840718758</v>
      </c>
      <c r="L55" s="136">
        <f t="shared" si="12"/>
        <v>3950563.0588396508</v>
      </c>
      <c r="M55" s="79">
        <f t="shared" si="20"/>
        <v>0.89226245496544987</v>
      </c>
      <c r="N55" s="136">
        <f t="shared" si="13"/>
        <v>1248616.053971905</v>
      </c>
      <c r="O55" s="136">
        <f t="shared" si="21"/>
        <v>0</v>
      </c>
      <c r="P55" s="79">
        <f t="shared" si="22"/>
        <v>0</v>
      </c>
      <c r="Q55" s="136">
        <f t="shared" si="23"/>
        <v>3758169.4964002175</v>
      </c>
      <c r="R55" s="136">
        <f t="shared" si="24"/>
        <v>21009791.370607503</v>
      </c>
      <c r="S55" s="79">
        <f t="shared" si="25"/>
        <v>0.84826488072313189</v>
      </c>
      <c r="T55" s="565">
        <f>Q55/ITA!B53*1000</f>
        <v>96.744633190660338</v>
      </c>
      <c r="U55" s="565"/>
      <c r="V55" s="464">
        <f>'FY 19 State Pmt'!BL54</f>
        <v>15494870.219999997</v>
      </c>
      <c r="W55" s="465">
        <f>'Prop Tax'!K53</f>
        <v>3874066.4311927739</v>
      </c>
      <c r="X55" s="535">
        <f t="shared" si="17"/>
        <v>19368936.651192769</v>
      </c>
      <c r="Y55" s="565"/>
      <c r="Z55" s="559">
        <f t="shared" si="26"/>
        <v>1640854.7194147334</v>
      </c>
      <c r="AA55" s="565"/>
      <c r="AB55" s="393">
        <f t="shared" si="27"/>
        <v>0</v>
      </c>
      <c r="AC55" s="582">
        <f t="shared" si="28"/>
        <v>21009791.370607503</v>
      </c>
      <c r="AD55" s="393">
        <f t="shared" si="19"/>
        <v>1640854.7194147334</v>
      </c>
      <c r="AE55" s="79">
        <f t="shared" si="29"/>
        <v>0.84826488072313189</v>
      </c>
      <c r="AF55" s="559">
        <f t="shared" si="30"/>
        <v>3758169.4964002185</v>
      </c>
      <c r="AG55" s="565">
        <f>AF55/ITA!B53*1000</f>
        <v>96.744633190660366</v>
      </c>
    </row>
    <row r="56" spans="1:33" x14ac:dyDescent="0.25">
      <c r="A56" s="125" t="s">
        <v>53</v>
      </c>
      <c r="B56" s="126">
        <v>1729.85</v>
      </c>
      <c r="C56" s="127">
        <v>1.6670000000000001E-3</v>
      </c>
      <c r="D56" s="128">
        <f>'Total Inst. Cost'!G54</f>
        <v>10908566.86079569</v>
      </c>
      <c r="E56" s="128">
        <f>Facilities!J64</f>
        <v>2531396.1516253799</v>
      </c>
      <c r="F56" s="128">
        <f>'District Services'!K63</f>
        <v>1189646.8528093267</v>
      </c>
      <c r="G56" s="433">
        <f t="shared" si="7"/>
        <v>14629609.865230396</v>
      </c>
      <c r="H56" s="128">
        <f t="shared" si="8"/>
        <v>1427829.3239204448</v>
      </c>
      <c r="I56" s="128">
        <f t="shared" si="9"/>
        <v>9480737.5368752442</v>
      </c>
      <c r="J56" s="132">
        <f t="shared" si="10"/>
        <v>0.86910935761397556</v>
      </c>
      <c r="K56" s="128">
        <f t="shared" si="11"/>
        <v>335097.59918448451</v>
      </c>
      <c r="L56" s="128">
        <f t="shared" si="12"/>
        <v>2196298.5524408952</v>
      </c>
      <c r="M56" s="132">
        <f t="shared" si="20"/>
        <v>0.86762340656585002</v>
      </c>
      <c r="N56" s="128">
        <f t="shared" si="13"/>
        <v>1189646.8528093267</v>
      </c>
      <c r="O56" s="128">
        <f t="shared" si="21"/>
        <v>0</v>
      </c>
      <c r="P56" s="132">
        <f t="shared" si="22"/>
        <v>0</v>
      </c>
      <c r="Q56" s="128">
        <f t="shared" si="23"/>
        <v>2952573.775914256</v>
      </c>
      <c r="R56" s="128">
        <f t="shared" si="24"/>
        <v>11677036.089316139</v>
      </c>
      <c r="S56" s="132">
        <f t="shared" si="25"/>
        <v>0.79817822873516808</v>
      </c>
      <c r="T56" s="564">
        <f>Q56/ITA!B54*1000</f>
        <v>108.15967228691881</v>
      </c>
      <c r="U56" s="564"/>
      <c r="V56" s="462">
        <f>'FY 19 State Pmt'!BL55</f>
        <v>8921745.120000001</v>
      </c>
      <c r="W56" s="463">
        <f>'Prop Tax'!K54</f>
        <v>3888122.1268320875</v>
      </c>
      <c r="X56" s="533">
        <f t="shared" si="17"/>
        <v>12809867.246832088</v>
      </c>
      <c r="Y56" s="564"/>
      <c r="Z56" s="560">
        <f t="shared" si="26"/>
        <v>-1132831.1575159486</v>
      </c>
      <c r="AA56" s="564"/>
      <c r="AB56" s="392">
        <f t="shared" si="27"/>
        <v>1132831.1575159486</v>
      </c>
      <c r="AC56" s="581">
        <f t="shared" si="28"/>
        <v>12809867.246832088</v>
      </c>
      <c r="AD56" s="392">
        <f t="shared" si="19"/>
        <v>0</v>
      </c>
      <c r="AE56" s="132">
        <f t="shared" si="29"/>
        <v>0.87561236183589441</v>
      </c>
      <c r="AF56" s="560">
        <f t="shared" si="30"/>
        <v>1819742.6183983088</v>
      </c>
      <c r="AG56" s="564">
        <f>AF56/ITA!B54*1000</f>
        <v>66.661421590237836</v>
      </c>
    </row>
    <row r="57" spans="1:33" x14ac:dyDescent="0.25">
      <c r="A57" s="123" t="s">
        <v>54</v>
      </c>
      <c r="B57" s="47">
        <v>25998.85</v>
      </c>
      <c r="C57" s="73">
        <v>1.8669999999999999E-2</v>
      </c>
      <c r="D57" s="58">
        <f>'Total Inst. Cost'!G55</f>
        <v>149246473.9936707</v>
      </c>
      <c r="E57" s="58">
        <f>Facilities!J65</f>
        <v>35076499.807726398</v>
      </c>
      <c r="F57" s="58">
        <f>'District Services'!K64</f>
        <v>4264056.7707009455</v>
      </c>
      <c r="G57" s="434">
        <f t="shared" si="7"/>
        <v>188587030.57209802</v>
      </c>
      <c r="H57" s="58">
        <f t="shared" si="8"/>
        <v>15991345.817393342</v>
      </c>
      <c r="I57" s="58">
        <f t="shared" si="9"/>
        <v>133255128.17627735</v>
      </c>
      <c r="J57" s="79">
        <f t="shared" si="10"/>
        <v>0.89285277307072919</v>
      </c>
      <c r="K57" s="58">
        <f t="shared" si="11"/>
        <v>3753012.7035238901</v>
      </c>
      <c r="L57" s="58">
        <f t="shared" si="12"/>
        <v>31323487.104202509</v>
      </c>
      <c r="M57" s="79">
        <f t="shared" si="20"/>
        <v>0.89300492568824663</v>
      </c>
      <c r="N57" s="58">
        <f t="shared" si="13"/>
        <v>4264056.7707009455</v>
      </c>
      <c r="O57" s="58">
        <f t="shared" si="21"/>
        <v>0</v>
      </c>
      <c r="P57" s="79">
        <f t="shared" si="22"/>
        <v>0</v>
      </c>
      <c r="Q57" s="58">
        <f t="shared" si="23"/>
        <v>24008415.29161818</v>
      </c>
      <c r="R57" s="58">
        <f t="shared" si="24"/>
        <v>164578615.28047985</v>
      </c>
      <c r="S57" s="79">
        <f t="shared" si="25"/>
        <v>0.87269317927756651</v>
      </c>
      <c r="T57" s="565">
        <f>Q57/ITA!B55*1000</f>
        <v>78.540420788918723</v>
      </c>
      <c r="U57" s="565"/>
      <c r="V57" s="464">
        <f>'FY 19 State Pmt'!BL56</f>
        <v>122984146.39</v>
      </c>
      <c r="W57" s="465">
        <f>'Prop Tax'!K55</f>
        <v>51162915.513940655</v>
      </c>
      <c r="X57" s="535">
        <f t="shared" si="17"/>
        <v>174147061.90394065</v>
      </c>
      <c r="Y57" s="565"/>
      <c r="Z57" s="559">
        <f t="shared" si="26"/>
        <v>-9568446.6234607995</v>
      </c>
      <c r="AA57" s="565"/>
      <c r="AB57" s="393">
        <f t="shared" si="27"/>
        <v>9568446.6234607995</v>
      </c>
      <c r="AC57" s="582">
        <f t="shared" si="28"/>
        <v>174147061.90394065</v>
      </c>
      <c r="AD57" s="393">
        <f t="shared" si="19"/>
        <v>0</v>
      </c>
      <c r="AE57" s="79">
        <f t="shared" si="29"/>
        <v>0.92343074375606715</v>
      </c>
      <c r="AF57" s="559">
        <f t="shared" si="30"/>
        <v>14439968.668157369</v>
      </c>
      <c r="AG57" s="565">
        <f>AF57/ITA!B55*1000</f>
        <v>47.238487072148679</v>
      </c>
    </row>
    <row r="58" spans="1:33" x14ac:dyDescent="0.25">
      <c r="A58" s="125" t="s">
        <v>55</v>
      </c>
      <c r="B58" s="126">
        <v>8632.56</v>
      </c>
      <c r="C58" s="127">
        <v>1.41E-2</v>
      </c>
      <c r="D58" s="128">
        <f>'Total Inst. Cost'!G56</f>
        <v>54087699.372368112</v>
      </c>
      <c r="E58" s="128">
        <f>Facilities!J66</f>
        <v>12491761.798122372</v>
      </c>
      <c r="F58" s="128">
        <f>'District Services'!K65</f>
        <v>2398518.5535541018</v>
      </c>
      <c r="G58" s="433">
        <f t="shared" si="7"/>
        <v>68977979.724044591</v>
      </c>
      <c r="H58" s="128">
        <f t="shared" si="8"/>
        <v>12077020.676231716</v>
      </c>
      <c r="I58" s="128">
        <f t="shared" si="9"/>
        <v>42010678.6961364</v>
      </c>
      <c r="J58" s="132">
        <f t="shared" si="10"/>
        <v>0.7767140992060475</v>
      </c>
      <c r="K58" s="128">
        <f t="shared" si="11"/>
        <v>2834358.8173372713</v>
      </c>
      <c r="L58" s="128">
        <f t="shared" si="12"/>
        <v>9657402.9807851017</v>
      </c>
      <c r="M58" s="132">
        <f t="shared" si="20"/>
        <v>0.77310175592979202</v>
      </c>
      <c r="N58" s="128">
        <f t="shared" si="13"/>
        <v>2398518.5535541018</v>
      </c>
      <c r="O58" s="128">
        <f t="shared" si="21"/>
        <v>0</v>
      </c>
      <c r="P58" s="132">
        <f t="shared" si="22"/>
        <v>0</v>
      </c>
      <c r="Q58" s="128">
        <f t="shared" si="23"/>
        <v>17309898.047123089</v>
      </c>
      <c r="R58" s="128">
        <f t="shared" si="24"/>
        <v>51668081.676921502</v>
      </c>
      <c r="S58" s="132">
        <f t="shared" si="25"/>
        <v>0.74905182615707799</v>
      </c>
      <c r="T58" s="564">
        <f>Q58/ITA!B56*1000</f>
        <v>74.979884165242822</v>
      </c>
      <c r="U58" s="564"/>
      <c r="V58" s="462">
        <f>'FY 19 State Pmt'!BL57</f>
        <v>37095173.119999997</v>
      </c>
      <c r="W58" s="463">
        <f>'Prop Tax'!K56</f>
        <v>14380968.889584647</v>
      </c>
      <c r="X58" s="533">
        <f t="shared" si="17"/>
        <v>51476142.009584643</v>
      </c>
      <c r="Y58" s="564"/>
      <c r="Z58" s="560">
        <f t="shared" si="26"/>
        <v>191939.66733685881</v>
      </c>
      <c r="AA58" s="564"/>
      <c r="AB58" s="392">
        <f t="shared" si="27"/>
        <v>0</v>
      </c>
      <c r="AC58" s="581">
        <f t="shared" si="28"/>
        <v>51668081.676921502</v>
      </c>
      <c r="AD58" s="392">
        <f t="shared" si="19"/>
        <v>191939.66733685881</v>
      </c>
      <c r="AE58" s="132">
        <f t="shared" si="29"/>
        <v>0.74905182615707799</v>
      </c>
      <c r="AF58" s="560">
        <f t="shared" si="30"/>
        <v>17309898.047123089</v>
      </c>
      <c r="AG58" s="564">
        <f>AF58/ITA!B56*1000</f>
        <v>74.979884165242822</v>
      </c>
    </row>
    <row r="59" spans="1:33" x14ac:dyDescent="0.25">
      <c r="A59" s="123" t="s">
        <v>56</v>
      </c>
      <c r="B59" s="47">
        <v>1939.18</v>
      </c>
      <c r="C59" s="73">
        <v>1.825E-3</v>
      </c>
      <c r="D59" s="136">
        <f>'Total Inst. Cost'!G57</f>
        <v>12122426.907368965</v>
      </c>
      <c r="E59" s="136">
        <f>Facilities!J67</f>
        <v>2807492.3334671962</v>
      </c>
      <c r="F59" s="136">
        <f>'District Services'!K66</f>
        <v>1197752.7527392642</v>
      </c>
      <c r="G59" s="432">
        <f t="shared" si="7"/>
        <v>16127671.993575426</v>
      </c>
      <c r="H59" s="136">
        <f t="shared" si="8"/>
        <v>1563160.4775973675</v>
      </c>
      <c r="I59" s="136">
        <f t="shared" si="9"/>
        <v>10559266.429771598</v>
      </c>
      <c r="J59" s="79">
        <f t="shared" si="10"/>
        <v>0.87105218373004545</v>
      </c>
      <c r="K59" s="136">
        <f t="shared" si="11"/>
        <v>366858.49940712907</v>
      </c>
      <c r="L59" s="136">
        <f t="shared" si="12"/>
        <v>2440633.8340600673</v>
      </c>
      <c r="M59" s="79">
        <f t="shared" si="20"/>
        <v>0.86932876181568552</v>
      </c>
      <c r="N59" s="136">
        <f t="shared" si="13"/>
        <v>1197752.7527392642</v>
      </c>
      <c r="O59" s="136">
        <f t="shared" si="21"/>
        <v>0</v>
      </c>
      <c r="P59" s="79">
        <f t="shared" si="22"/>
        <v>0</v>
      </c>
      <c r="Q59" s="136">
        <f t="shared" si="23"/>
        <v>3127771.729743761</v>
      </c>
      <c r="R59" s="136">
        <f t="shared" si="24"/>
        <v>12999900.263831666</v>
      </c>
      <c r="S59" s="79">
        <f t="shared" si="25"/>
        <v>0.80606179670632372</v>
      </c>
      <c r="T59" s="565">
        <f>Q59/ITA!B57*1000</f>
        <v>104.6578879374775</v>
      </c>
      <c r="U59" s="565"/>
      <c r="V59" s="464">
        <f>'FY 19 State Pmt'!BL58</f>
        <v>9691707.6799999978</v>
      </c>
      <c r="W59" s="465">
        <f>'Prop Tax'!K57</f>
        <v>4396403.5391870914</v>
      </c>
      <c r="X59" s="535">
        <f t="shared" si="17"/>
        <v>14088111.219187088</v>
      </c>
      <c r="Y59" s="565"/>
      <c r="Z59" s="559">
        <f t="shared" si="26"/>
        <v>-1088210.9553554226</v>
      </c>
      <c r="AA59" s="565"/>
      <c r="AB59" s="393">
        <f t="shared" si="27"/>
        <v>1088210.9553554226</v>
      </c>
      <c r="AC59" s="582">
        <f t="shared" si="28"/>
        <v>14088111.219187088</v>
      </c>
      <c r="AD59" s="393">
        <f t="shared" si="19"/>
        <v>0</v>
      </c>
      <c r="AE59" s="79">
        <f t="shared" si="29"/>
        <v>0.87353656651742351</v>
      </c>
      <c r="AF59" s="559">
        <f t="shared" si="30"/>
        <v>2039560.7743883375</v>
      </c>
      <c r="AG59" s="565">
        <f>AF59/ITA!B57*1000</f>
        <v>68.245428826449754</v>
      </c>
    </row>
    <row r="60" spans="1:33" x14ac:dyDescent="0.25">
      <c r="A60" s="125" t="s">
        <v>57</v>
      </c>
      <c r="B60" s="126">
        <v>3124.12</v>
      </c>
      <c r="C60" s="127">
        <v>1.4090000000000001E-3</v>
      </c>
      <c r="D60" s="128">
        <f>'Total Inst. Cost'!G58</f>
        <v>20358429.357592933</v>
      </c>
      <c r="E60" s="128">
        <f>Facilities!J68</f>
        <v>4655822.5238384558</v>
      </c>
      <c r="F60" s="128">
        <f>'District Services'!K67</f>
        <v>1255816.3446834737</v>
      </c>
      <c r="G60" s="433">
        <f t="shared" si="7"/>
        <v>26270068.226114862</v>
      </c>
      <c r="H60" s="128">
        <f t="shared" si="8"/>
        <v>1206845.5413340773</v>
      </c>
      <c r="I60" s="128">
        <f t="shared" si="9"/>
        <v>19151583.816258855</v>
      </c>
      <c r="J60" s="132">
        <f t="shared" si="10"/>
        <v>0.94072010565569641</v>
      </c>
      <c r="K60" s="128">
        <f t="shared" si="11"/>
        <v>283234.86337788764</v>
      </c>
      <c r="L60" s="128">
        <f t="shared" si="12"/>
        <v>4372587.660460568</v>
      </c>
      <c r="M60" s="132">
        <f t="shared" si="20"/>
        <v>0.93916545101801319</v>
      </c>
      <c r="N60" s="128">
        <f t="shared" si="13"/>
        <v>1255816.3446834737</v>
      </c>
      <c r="O60" s="128">
        <f t="shared" si="21"/>
        <v>0</v>
      </c>
      <c r="P60" s="132">
        <f t="shared" si="22"/>
        <v>0</v>
      </c>
      <c r="Q60" s="128">
        <f t="shared" si="23"/>
        <v>2745896.7493954385</v>
      </c>
      <c r="R60" s="128">
        <f t="shared" si="24"/>
        <v>23524171.476719424</v>
      </c>
      <c r="S60" s="132">
        <f t="shared" si="25"/>
        <v>0.89547431983196135</v>
      </c>
      <c r="T60" s="564">
        <f>Q60/ITA!B58*1000</f>
        <v>118.99467599688064</v>
      </c>
      <c r="U60" s="564"/>
      <c r="V60" s="462">
        <f>'FY 19 State Pmt'!BL59</f>
        <v>17959733.660000004</v>
      </c>
      <c r="W60" s="463">
        <f>'Prop Tax'!K58</f>
        <v>3873234.1607989687</v>
      </c>
      <c r="X60" s="533">
        <f t="shared" si="17"/>
        <v>21832967.820798971</v>
      </c>
      <c r="Y60" s="564"/>
      <c r="Z60" s="560">
        <f t="shared" si="26"/>
        <v>1691203.6559204534</v>
      </c>
      <c r="AA60" s="564"/>
      <c r="AB60" s="392">
        <f t="shared" si="27"/>
        <v>0</v>
      </c>
      <c r="AC60" s="581">
        <f t="shared" si="28"/>
        <v>23524171.476719424</v>
      </c>
      <c r="AD60" s="392">
        <f t="shared" si="19"/>
        <v>1691203.6559204534</v>
      </c>
      <c r="AE60" s="132">
        <f t="shared" si="29"/>
        <v>0.89547431983196135</v>
      </c>
      <c r="AF60" s="560">
        <f t="shared" si="30"/>
        <v>2745896.7493954375</v>
      </c>
      <c r="AG60" s="564">
        <f>AF60/ITA!B58*1000</f>
        <v>118.99467599688062</v>
      </c>
    </row>
    <row r="61" spans="1:33" x14ac:dyDescent="0.25">
      <c r="A61" s="123" t="s">
        <v>58</v>
      </c>
      <c r="B61" s="47">
        <v>16899.259999999998</v>
      </c>
      <c r="C61" s="73">
        <v>1.626E-2</v>
      </c>
      <c r="D61" s="58">
        <f>'Total Inst. Cost'!G59</f>
        <v>96678518.960273594</v>
      </c>
      <c r="E61" s="58">
        <f>Facilities!J69</f>
        <v>22794168.073393114</v>
      </c>
      <c r="F61" s="58">
        <f>'District Services'!K68</f>
        <v>3899728.6975525306</v>
      </c>
      <c r="G61" s="434">
        <f t="shared" si="7"/>
        <v>123372415.73121923</v>
      </c>
      <c r="H61" s="58">
        <f t="shared" si="8"/>
        <v>13927117.460675724</v>
      </c>
      <c r="I61" s="58">
        <f t="shared" si="9"/>
        <v>82751401.499597877</v>
      </c>
      <c r="J61" s="79">
        <f t="shared" si="10"/>
        <v>0.85594403378894812</v>
      </c>
      <c r="K61" s="58">
        <f t="shared" si="11"/>
        <v>3268558.4659506404</v>
      </c>
      <c r="L61" s="58">
        <f t="shared" si="12"/>
        <v>19525609.607442472</v>
      </c>
      <c r="M61" s="79">
        <f t="shared" si="20"/>
        <v>0.8566054942024437</v>
      </c>
      <c r="N61" s="58">
        <f t="shared" si="13"/>
        <v>3899728.6975525306</v>
      </c>
      <c r="O61" s="58">
        <f t="shared" si="21"/>
        <v>0</v>
      </c>
      <c r="P61" s="79">
        <f t="shared" si="22"/>
        <v>0</v>
      </c>
      <c r="Q61" s="58">
        <f t="shared" si="23"/>
        <v>21095404.624178898</v>
      </c>
      <c r="R61" s="58">
        <f t="shared" si="24"/>
        <v>102277011.10704035</v>
      </c>
      <c r="S61" s="79">
        <f t="shared" si="25"/>
        <v>0.82901036265563921</v>
      </c>
      <c r="T61" s="565">
        <f>Q61/ITA!B59*1000</f>
        <v>79.240931825655039</v>
      </c>
      <c r="U61" s="565"/>
      <c r="V61" s="464">
        <f>'FY 19 State Pmt'!BL60</f>
        <v>74309378.889999986</v>
      </c>
      <c r="W61" s="465">
        <f>'Prop Tax'!K59</f>
        <v>45732337.264372997</v>
      </c>
      <c r="X61" s="534">
        <f t="shared" si="17"/>
        <v>120041716.15437299</v>
      </c>
      <c r="Y61" s="565"/>
      <c r="Z61" s="559">
        <f t="shared" si="26"/>
        <v>-17764705.047332644</v>
      </c>
      <c r="AA61" s="565"/>
      <c r="AB61" s="393">
        <f t="shared" si="27"/>
        <v>17764705.047332644</v>
      </c>
      <c r="AC61" s="582">
        <f t="shared" si="28"/>
        <v>120041716.15437299</v>
      </c>
      <c r="AD61" s="393">
        <f t="shared" si="19"/>
        <v>0</v>
      </c>
      <c r="AE61" s="79">
        <f t="shared" si="29"/>
        <v>0.97300288271810653</v>
      </c>
      <c r="AF61" s="559">
        <f t="shared" si="30"/>
        <v>3330699.576846242</v>
      </c>
      <c r="AG61" s="565">
        <f>AF61/ITA!B59*1000</f>
        <v>12.511148413721601</v>
      </c>
    </row>
    <row r="62" spans="1:33" x14ac:dyDescent="0.25">
      <c r="A62" s="125" t="s">
        <v>59</v>
      </c>
      <c r="B62" s="126">
        <v>4230.8599999999997</v>
      </c>
      <c r="C62" s="127">
        <v>3.3419999999999999E-3</v>
      </c>
      <c r="D62" s="128">
        <f>'Total Inst. Cost'!G60</f>
        <v>26956286.689875893</v>
      </c>
      <c r="E62" s="128">
        <f>Facilities!J70</f>
        <v>6328538.8602237673</v>
      </c>
      <c r="F62" s="128">
        <f>'District Services'!K69</f>
        <v>1307759.7078050536</v>
      </c>
      <c r="G62" s="433">
        <f t="shared" si="7"/>
        <v>34592585.257904716</v>
      </c>
      <c r="H62" s="128">
        <f t="shared" si="8"/>
        <v>2862510.8581536449</v>
      </c>
      <c r="I62" s="128">
        <f t="shared" si="9"/>
        <v>24093775.831722248</v>
      </c>
      <c r="J62" s="132">
        <f t="shared" si="10"/>
        <v>0.89380915513008208</v>
      </c>
      <c r="K62" s="128">
        <f t="shared" si="11"/>
        <v>671803.34521568508</v>
      </c>
      <c r="L62" s="128">
        <f t="shared" si="12"/>
        <v>5656735.5150080826</v>
      </c>
      <c r="M62" s="132">
        <f t="shared" si="20"/>
        <v>0.89384542624236474</v>
      </c>
      <c r="N62" s="128">
        <f t="shared" si="13"/>
        <v>1307759.7078050536</v>
      </c>
      <c r="O62" s="128">
        <f t="shared" si="21"/>
        <v>0</v>
      </c>
      <c r="P62" s="132">
        <f t="shared" si="22"/>
        <v>0</v>
      </c>
      <c r="Q62" s="128">
        <f t="shared" si="23"/>
        <v>4842073.9111743839</v>
      </c>
      <c r="R62" s="128">
        <f t="shared" si="24"/>
        <v>29750511.346730329</v>
      </c>
      <c r="S62" s="132">
        <f t="shared" si="25"/>
        <v>0.86002567096172933</v>
      </c>
      <c r="T62" s="564">
        <f>Q62/ITA!B60*1000</f>
        <v>88.480445931248667</v>
      </c>
      <c r="U62" s="564"/>
      <c r="V62" s="462">
        <f>'FY 19 State Pmt'!BL61</f>
        <v>21344328.469999995</v>
      </c>
      <c r="W62" s="463">
        <f>'Prop Tax'!K60</f>
        <v>5788049.6511923019</v>
      </c>
      <c r="X62" s="533">
        <f t="shared" si="17"/>
        <v>27132378.121192299</v>
      </c>
      <c r="Y62" s="564"/>
      <c r="Z62" s="560">
        <f t="shared" si="26"/>
        <v>2618133.2255380303</v>
      </c>
      <c r="AA62" s="564"/>
      <c r="AB62" s="392">
        <f t="shared" si="27"/>
        <v>0</v>
      </c>
      <c r="AC62" s="581">
        <f t="shared" si="28"/>
        <v>29750511.346730329</v>
      </c>
      <c r="AD62" s="392">
        <f t="shared" si="19"/>
        <v>2618133.2255380303</v>
      </c>
      <c r="AE62" s="132">
        <f t="shared" si="29"/>
        <v>0.86002567096172933</v>
      </c>
      <c r="AF62" s="560">
        <f t="shared" si="30"/>
        <v>4842073.9111743867</v>
      </c>
      <c r="AG62" s="564">
        <f>AF62/ITA!B60*1000</f>
        <v>88.480445931248724</v>
      </c>
    </row>
    <row r="63" spans="1:33" x14ac:dyDescent="0.25">
      <c r="A63" s="123" t="s">
        <v>60</v>
      </c>
      <c r="B63" s="47">
        <v>3684.37</v>
      </c>
      <c r="C63" s="73">
        <v>3.4380000000000001E-3</v>
      </c>
      <c r="D63" s="136">
        <f>'Total Inst. Cost'!G61</f>
        <v>23031937.931125272</v>
      </c>
      <c r="E63" s="136">
        <f>Facilities!J71</f>
        <v>5386654.6249611219</v>
      </c>
      <c r="F63" s="136">
        <f>'District Services'!K70</f>
        <v>1277164.8946310354</v>
      </c>
      <c r="G63" s="432">
        <f t="shared" si="7"/>
        <v>29695757.450717431</v>
      </c>
      <c r="H63" s="136">
        <f t="shared" si="8"/>
        <v>2944737.381906712</v>
      </c>
      <c r="I63" s="136">
        <f t="shared" si="9"/>
        <v>20087200.549218562</v>
      </c>
      <c r="J63" s="79">
        <f t="shared" si="10"/>
        <v>0.8721454794332697</v>
      </c>
      <c r="K63" s="136">
        <f t="shared" si="11"/>
        <v>691101.10737627931</v>
      </c>
      <c r="L63" s="136">
        <f t="shared" si="12"/>
        <v>4695553.5175848426</v>
      </c>
      <c r="M63" s="79">
        <f t="shared" si="20"/>
        <v>0.87170124028858309</v>
      </c>
      <c r="N63" s="136">
        <f t="shared" si="13"/>
        <v>1277164.8946310354</v>
      </c>
      <c r="O63" s="136">
        <f t="shared" si="21"/>
        <v>0</v>
      </c>
      <c r="P63" s="79">
        <f t="shared" si="22"/>
        <v>0</v>
      </c>
      <c r="Q63" s="136">
        <f t="shared" si="23"/>
        <v>4913003.3839140264</v>
      </c>
      <c r="R63" s="136">
        <f t="shared" si="24"/>
        <v>24782754.066803403</v>
      </c>
      <c r="S63" s="79">
        <f t="shared" si="25"/>
        <v>0.834555377411485</v>
      </c>
      <c r="T63" s="565">
        <f>Q63/ITA!B61*1000</f>
        <v>87.283782849788253</v>
      </c>
      <c r="U63" s="565"/>
      <c r="V63" s="464">
        <f>'FY 19 State Pmt'!BL62</f>
        <v>18962094.889999997</v>
      </c>
      <c r="W63" s="465">
        <f>'Prop Tax'!K61</f>
        <v>5435809.0912967287</v>
      </c>
      <c r="X63" s="535">
        <f t="shared" si="17"/>
        <v>24397903.981296726</v>
      </c>
      <c r="Y63" s="565"/>
      <c r="Z63" s="559">
        <f t="shared" si="26"/>
        <v>384850.08550667763</v>
      </c>
      <c r="AA63" s="565"/>
      <c r="AB63" s="393">
        <f t="shared" si="27"/>
        <v>0</v>
      </c>
      <c r="AC63" s="582">
        <f t="shared" si="28"/>
        <v>24782754.066803403</v>
      </c>
      <c r="AD63" s="393">
        <f t="shared" si="19"/>
        <v>384850.08550667763</v>
      </c>
      <c r="AE63" s="79">
        <f t="shared" si="29"/>
        <v>0.834555377411485</v>
      </c>
      <c r="AF63" s="559">
        <f t="shared" si="30"/>
        <v>4913003.3839140274</v>
      </c>
      <c r="AG63" s="565">
        <f>AF63/ITA!B61*1000</f>
        <v>87.283782849788267</v>
      </c>
    </row>
    <row r="64" spans="1:33" x14ac:dyDescent="0.25">
      <c r="A64" s="125" t="s">
        <v>61</v>
      </c>
      <c r="B64" s="126">
        <v>665.85</v>
      </c>
      <c r="C64" s="127">
        <v>1.6199999999999999E-3</v>
      </c>
      <c r="D64" s="128">
        <f>'Total Inst. Cost'!G62</f>
        <v>4237023.9889165387</v>
      </c>
      <c r="E64" s="128">
        <f>Facilities!J72</f>
        <v>986408.55212152505</v>
      </c>
      <c r="F64" s="128">
        <f>'District Services'!K71</f>
        <v>1142403.0222093277</v>
      </c>
      <c r="G64" s="433">
        <f t="shared" si="7"/>
        <v>6365835.563247391</v>
      </c>
      <c r="H64" s="128">
        <f t="shared" si="8"/>
        <v>1387572.5883330056</v>
      </c>
      <c r="I64" s="128">
        <f t="shared" si="9"/>
        <v>2849451.4005835331</v>
      </c>
      <c r="J64" s="132">
        <f t="shared" si="10"/>
        <v>0.6725124540331372</v>
      </c>
      <c r="K64" s="128">
        <f t="shared" si="11"/>
        <v>325649.73646002688</v>
      </c>
      <c r="L64" s="128">
        <f t="shared" si="12"/>
        <v>660758.81566149811</v>
      </c>
      <c r="M64" s="132">
        <f t="shared" si="20"/>
        <v>0.6698632267941782</v>
      </c>
      <c r="N64" s="128">
        <f t="shared" si="13"/>
        <v>1142403.0222093277</v>
      </c>
      <c r="O64" s="128">
        <f t="shared" si="21"/>
        <v>0</v>
      </c>
      <c r="P64" s="132">
        <f t="shared" si="22"/>
        <v>0</v>
      </c>
      <c r="Q64" s="128">
        <f t="shared" si="23"/>
        <v>2855625.34700236</v>
      </c>
      <c r="R64" s="128">
        <f t="shared" si="24"/>
        <v>3510210.216245031</v>
      </c>
      <c r="S64" s="132">
        <f t="shared" si="25"/>
        <v>0.55141390024444403</v>
      </c>
      <c r="T64" s="564">
        <f>Q64/ITA!B62*1000</f>
        <v>107.65084157557875</v>
      </c>
      <c r="U64" s="564"/>
      <c r="V64" s="462">
        <f>'FY 19 State Pmt'!BL63</f>
        <v>2392552.8900000006</v>
      </c>
      <c r="W64" s="463">
        <f>'Prop Tax'!K62</f>
        <v>3296376.9250261942</v>
      </c>
      <c r="X64" s="533">
        <f t="shared" si="17"/>
        <v>5688929.8150261948</v>
      </c>
      <c r="Y64" s="564"/>
      <c r="Z64" s="560">
        <f t="shared" si="26"/>
        <v>-2178719.5987811638</v>
      </c>
      <c r="AA64" s="564"/>
      <c r="AB64" s="392">
        <f t="shared" si="27"/>
        <v>2178719.5987811638</v>
      </c>
      <c r="AC64" s="581">
        <f t="shared" si="28"/>
        <v>5688929.8150261948</v>
      </c>
      <c r="AD64" s="392">
        <f t="shared" si="19"/>
        <v>0</v>
      </c>
      <c r="AE64" s="132">
        <f t="shared" si="29"/>
        <v>0.89366584457046705</v>
      </c>
      <c r="AF64" s="560">
        <f t="shared" si="30"/>
        <v>676905.74822119623</v>
      </c>
      <c r="AG64" s="564">
        <f>AF64/ITA!B62*1000</f>
        <v>25.517868980905348</v>
      </c>
    </row>
    <row r="65" spans="1:33" x14ac:dyDescent="0.25">
      <c r="A65" s="123" t="s">
        <v>62</v>
      </c>
      <c r="B65" s="47">
        <v>5751.42</v>
      </c>
      <c r="C65" s="73">
        <v>6.3829999999999998E-3</v>
      </c>
      <c r="D65" s="58">
        <f>'Total Inst. Cost'!G63</f>
        <v>35393010.819653735</v>
      </c>
      <c r="E65" s="58">
        <f>Facilities!J73</f>
        <v>8190267.411438548</v>
      </c>
      <c r="F65" s="58">
        <f>'District Services'!K72</f>
        <v>1360504.364746399</v>
      </c>
      <c r="G65" s="434">
        <f t="shared" si="7"/>
        <v>44943782.595838681</v>
      </c>
      <c r="H65" s="58">
        <f t="shared" si="8"/>
        <v>5467207.3032898614</v>
      </c>
      <c r="I65" s="58">
        <f t="shared" si="9"/>
        <v>29925803.516363874</v>
      </c>
      <c r="J65" s="79">
        <f t="shared" si="10"/>
        <v>0.84552861775031807</v>
      </c>
      <c r="K65" s="58">
        <f t="shared" si="11"/>
        <v>1283100.1653236737</v>
      </c>
      <c r="L65" s="58">
        <f t="shared" si="12"/>
        <v>6907167.2461148743</v>
      </c>
      <c r="M65" s="79">
        <f t="shared" si="20"/>
        <v>0.84333842829946026</v>
      </c>
      <c r="N65" s="58">
        <f t="shared" si="13"/>
        <v>1360504.364746399</v>
      </c>
      <c r="O65" s="58">
        <f t="shared" si="21"/>
        <v>0</v>
      </c>
      <c r="P65" s="79">
        <f t="shared" si="22"/>
        <v>0</v>
      </c>
      <c r="Q65" s="58">
        <f t="shared" si="23"/>
        <v>8110811.8333599344</v>
      </c>
      <c r="R65" s="58">
        <f t="shared" si="24"/>
        <v>36832970.762478746</v>
      </c>
      <c r="S65" s="79">
        <f t="shared" si="25"/>
        <v>0.81953428561415942</v>
      </c>
      <c r="T65" s="565">
        <f>Q65/ITA!B63*1000</f>
        <v>77.61310921816748</v>
      </c>
      <c r="U65" s="565"/>
      <c r="V65" s="464">
        <f>'FY 19 State Pmt'!BL64</f>
        <v>26858974.979999997</v>
      </c>
      <c r="W65" s="465">
        <f>'Prop Tax'!K63</f>
        <v>10074318.971803756</v>
      </c>
      <c r="X65" s="535">
        <f t="shared" si="17"/>
        <v>36933293.951803751</v>
      </c>
      <c r="Y65" s="565"/>
      <c r="Z65" s="559">
        <f t="shared" si="26"/>
        <v>-100323.18932500482</v>
      </c>
      <c r="AA65" s="565"/>
      <c r="AB65" s="393">
        <f t="shared" si="27"/>
        <v>100323.18932500482</v>
      </c>
      <c r="AC65" s="582">
        <f t="shared" si="28"/>
        <v>36933293.951803751</v>
      </c>
      <c r="AD65" s="393">
        <f t="shared" si="19"/>
        <v>0</v>
      </c>
      <c r="AE65" s="79">
        <f t="shared" si="29"/>
        <v>0.82176647844552775</v>
      </c>
      <c r="AF65" s="559">
        <f t="shared" si="30"/>
        <v>8010488.6440349296</v>
      </c>
      <c r="AG65" s="565">
        <f>AF65/ITA!B63*1000</f>
        <v>76.65310733300835</v>
      </c>
    </row>
    <row r="66" spans="1:33" x14ac:dyDescent="0.25">
      <c r="A66" s="125" t="s">
        <v>63</v>
      </c>
      <c r="B66" s="126">
        <v>10099.5</v>
      </c>
      <c r="C66" s="127">
        <v>2.5744E-2</v>
      </c>
      <c r="D66" s="128">
        <f>'Total Inst. Cost'!G64</f>
        <v>62305314.79242982</v>
      </c>
      <c r="E66" s="128">
        <f>Facilities!J74</f>
        <v>14605094.086315569</v>
      </c>
      <c r="F66" s="128">
        <f>'District Services'!K73</f>
        <v>2915466.4729883629</v>
      </c>
      <c r="G66" s="433">
        <f t="shared" si="7"/>
        <v>79825875.351733759</v>
      </c>
      <c r="H66" s="128">
        <f t="shared" si="8"/>
        <v>22050412.786447469</v>
      </c>
      <c r="I66" s="128">
        <f t="shared" si="9"/>
        <v>40254902.005982354</v>
      </c>
      <c r="J66" s="132">
        <f t="shared" si="10"/>
        <v>0.6460909818061521</v>
      </c>
      <c r="K66" s="128">
        <f t="shared" si="11"/>
        <v>5175016.5527326744</v>
      </c>
      <c r="L66" s="128">
        <f t="shared" si="12"/>
        <v>9430077.5335828941</v>
      </c>
      <c r="M66" s="132">
        <f t="shared" si="20"/>
        <v>0.64567044059089818</v>
      </c>
      <c r="N66" s="128">
        <f t="shared" si="13"/>
        <v>2915466.4729883629</v>
      </c>
      <c r="O66" s="128">
        <f t="shared" si="21"/>
        <v>0</v>
      </c>
      <c r="P66" s="132">
        <f t="shared" si="22"/>
        <v>0</v>
      </c>
      <c r="Q66" s="128">
        <f t="shared" si="23"/>
        <v>30140895.812168505</v>
      </c>
      <c r="R66" s="128">
        <f t="shared" si="24"/>
        <v>49684979.53956525</v>
      </c>
      <c r="S66" s="132">
        <f t="shared" si="25"/>
        <v>0.62241697094632775</v>
      </c>
      <c r="T66" s="564">
        <f>Q66/ITA!B64*1000</f>
        <v>71.508774817661489</v>
      </c>
      <c r="U66" s="564"/>
      <c r="V66" s="462">
        <f>'FY 19 State Pmt'!BL65</f>
        <v>32109779.140000008</v>
      </c>
      <c r="W66" s="463">
        <f>'Prop Tax'!K64</f>
        <v>18802266.000316631</v>
      </c>
      <c r="X66" s="533">
        <f t="shared" si="17"/>
        <v>50912045.140316635</v>
      </c>
      <c r="Y66" s="564"/>
      <c r="Z66" s="560">
        <f t="shared" si="26"/>
        <v>-1227065.6007513851</v>
      </c>
      <c r="AA66" s="564"/>
      <c r="AB66" s="392">
        <f t="shared" si="27"/>
        <v>1227065.6007513851</v>
      </c>
      <c r="AC66" s="581">
        <f t="shared" si="28"/>
        <v>50912045.140316635</v>
      </c>
      <c r="AD66" s="392">
        <f t="shared" si="19"/>
        <v>0</v>
      </c>
      <c r="AE66" s="132">
        <f t="shared" si="29"/>
        <v>0.63778874852276657</v>
      </c>
      <c r="AF66" s="560">
        <f t="shared" si="30"/>
        <v>28913830.211417124</v>
      </c>
      <c r="AG66" s="564">
        <f>AF66/ITA!B64*1000</f>
        <v>68.597582055593548</v>
      </c>
    </row>
    <row r="67" spans="1:33" x14ac:dyDescent="0.25">
      <c r="A67" s="123" t="s">
        <v>64</v>
      </c>
      <c r="B67" s="47">
        <v>2483.25</v>
      </c>
      <c r="C67" s="73">
        <v>3.29E-3</v>
      </c>
      <c r="D67" s="136">
        <f>'Total Inst. Cost'!G65</f>
        <v>15750801.596492043</v>
      </c>
      <c r="E67" s="136">
        <f>Facilities!J75</f>
        <v>3656802.5590545102</v>
      </c>
      <c r="F67" s="136">
        <f>'District Services'!K74</f>
        <v>1224440.274867411</v>
      </c>
      <c r="G67" s="432">
        <f t="shared" si="7"/>
        <v>20632044.430413965</v>
      </c>
      <c r="H67" s="136">
        <f t="shared" si="8"/>
        <v>2817971.4911207338</v>
      </c>
      <c r="I67" s="136">
        <f t="shared" si="9"/>
        <v>12932830.105371309</v>
      </c>
      <c r="J67" s="79">
        <f t="shared" si="10"/>
        <v>0.82109028077984669</v>
      </c>
      <c r="K67" s="136">
        <f t="shared" si="11"/>
        <v>661350.39071202988</v>
      </c>
      <c r="L67" s="136">
        <f t="shared" si="12"/>
        <v>2995452.1683424804</v>
      </c>
      <c r="M67" s="79">
        <f t="shared" si="20"/>
        <v>0.81914517395135866</v>
      </c>
      <c r="N67" s="136">
        <f t="shared" si="13"/>
        <v>1224440.274867411</v>
      </c>
      <c r="O67" s="136">
        <f t="shared" si="21"/>
        <v>0</v>
      </c>
      <c r="P67" s="79">
        <f t="shared" si="22"/>
        <v>0</v>
      </c>
      <c r="Q67" s="136">
        <f t="shared" si="23"/>
        <v>4703762.1567001743</v>
      </c>
      <c r="R67" s="136">
        <f t="shared" si="24"/>
        <v>15928282.27371379</v>
      </c>
      <c r="S67" s="79">
        <f t="shared" si="25"/>
        <v>0.77201667180561617</v>
      </c>
      <c r="T67" s="565">
        <f>Q67/ITA!B65*1000</f>
        <v>87.326382589583815</v>
      </c>
      <c r="U67" s="565"/>
      <c r="V67" s="464">
        <f>'FY 19 State Pmt'!BL66</f>
        <v>12174890.289999997</v>
      </c>
      <c r="W67" s="465">
        <f>'Prop Tax'!K65</f>
        <v>4903116.9740747465</v>
      </c>
      <c r="X67" s="535">
        <f t="shared" si="17"/>
        <v>17078007.264074743</v>
      </c>
      <c r="Y67" s="565"/>
      <c r="Z67" s="559">
        <f t="shared" si="26"/>
        <v>-1149724.9903609529</v>
      </c>
      <c r="AA67" s="565"/>
      <c r="AB67" s="393">
        <f t="shared" si="27"/>
        <v>1149724.9903609529</v>
      </c>
      <c r="AC67" s="582">
        <f t="shared" si="28"/>
        <v>17078007.264074743</v>
      </c>
      <c r="AD67" s="393">
        <f t="shared" si="19"/>
        <v>0</v>
      </c>
      <c r="AE67" s="79">
        <f t="shared" si="29"/>
        <v>0.82774188092091494</v>
      </c>
      <c r="AF67" s="559">
        <f t="shared" si="30"/>
        <v>3554037.1663392223</v>
      </c>
      <c r="AG67" s="565">
        <f>AF67/ITA!B65*1000</f>
        <v>65.981484391861059</v>
      </c>
    </row>
    <row r="68" spans="1:33" x14ac:dyDescent="0.25">
      <c r="A68" s="125" t="s">
        <v>65</v>
      </c>
      <c r="B68" s="126">
        <v>3390.2</v>
      </c>
      <c r="C68" s="127">
        <v>3.6679999999999998E-3</v>
      </c>
      <c r="D68" s="128">
        <f>'Total Inst. Cost'!G66</f>
        <v>20594441.994047031</v>
      </c>
      <c r="E68" s="128">
        <f>Facilities!J76</f>
        <v>4837701.7710386161</v>
      </c>
      <c r="F68" s="128">
        <f>'District Services'!K75</f>
        <v>1258906.3420880197</v>
      </c>
      <c r="G68" s="433">
        <f t="shared" si="7"/>
        <v>26691050.107173666</v>
      </c>
      <c r="H68" s="128">
        <f t="shared" si="8"/>
        <v>3141738.428398435</v>
      </c>
      <c r="I68" s="128">
        <f t="shared" si="9"/>
        <v>17452703.565648597</v>
      </c>
      <c r="J68" s="132">
        <f t="shared" si="10"/>
        <v>0.84744726614556609</v>
      </c>
      <c r="K68" s="128">
        <f t="shared" si="11"/>
        <v>737335.32921936957</v>
      </c>
      <c r="L68" s="128">
        <f t="shared" si="12"/>
        <v>4100366.4418192464</v>
      </c>
      <c r="M68" s="132">
        <f t="shared" si="20"/>
        <v>0.84758561727936577</v>
      </c>
      <c r="N68" s="128">
        <f t="shared" si="13"/>
        <v>1258906.3420880197</v>
      </c>
      <c r="O68" s="128">
        <f t="shared" si="21"/>
        <v>0</v>
      </c>
      <c r="P68" s="132">
        <f t="shared" si="22"/>
        <v>0</v>
      </c>
      <c r="Q68" s="128">
        <f t="shared" si="23"/>
        <v>5137980.0997058246</v>
      </c>
      <c r="R68" s="128">
        <f t="shared" si="24"/>
        <v>21553070.007467844</v>
      </c>
      <c r="S68" s="132">
        <f t="shared" si="25"/>
        <v>0.80750176261049744</v>
      </c>
      <c r="T68" s="564">
        <f>Q68/ITA!B66*1000</f>
        <v>85.563060989659775</v>
      </c>
      <c r="U68" s="564"/>
      <c r="V68" s="462">
        <f>'FY 19 State Pmt'!BL67</f>
        <v>16215838.600000003</v>
      </c>
      <c r="W68" s="463">
        <f>'Prop Tax'!K66</f>
        <v>3406975.4480954232</v>
      </c>
      <c r="X68" s="533">
        <f t="shared" si="17"/>
        <v>19622814.048095427</v>
      </c>
      <c r="Y68" s="564"/>
      <c r="Z68" s="560">
        <f t="shared" si="26"/>
        <v>1930255.9593724161</v>
      </c>
      <c r="AA68" s="564"/>
      <c r="AB68" s="392">
        <f t="shared" si="27"/>
        <v>0</v>
      </c>
      <c r="AC68" s="581">
        <f t="shared" si="28"/>
        <v>21553070.007467844</v>
      </c>
      <c r="AD68" s="392">
        <f t="shared" si="19"/>
        <v>1930255.9593724161</v>
      </c>
      <c r="AE68" s="132">
        <f t="shared" si="29"/>
        <v>0.80750176261049744</v>
      </c>
      <c r="AF68" s="560">
        <f t="shared" si="30"/>
        <v>5137980.0997058228</v>
      </c>
      <c r="AG68" s="564">
        <f>AF68/ITA!B66*1000</f>
        <v>85.563060989659746</v>
      </c>
    </row>
    <row r="69" spans="1:33" x14ac:dyDescent="0.25">
      <c r="A69" s="123" t="s">
        <v>66</v>
      </c>
      <c r="B69" s="47">
        <v>6118.74</v>
      </c>
      <c r="C69" s="73">
        <v>8.3599999999999994E-3</v>
      </c>
      <c r="D69" s="58">
        <f>'Total Inst. Cost'!G67</f>
        <v>37676667.74248448</v>
      </c>
      <c r="E69" s="58">
        <f>Facilities!J77</f>
        <v>8851616.5379096959</v>
      </c>
      <c r="F69" s="58">
        <f>'District Services'!K76</f>
        <v>1533116.946011815</v>
      </c>
      <c r="G69" s="434">
        <f t="shared" si="7"/>
        <v>48061401.226405986</v>
      </c>
      <c r="H69" s="58">
        <f t="shared" si="8"/>
        <v>7160559.7768295845</v>
      </c>
      <c r="I69" s="58">
        <f t="shared" si="9"/>
        <v>30516107.965654895</v>
      </c>
      <c r="J69" s="79">
        <f t="shared" si="10"/>
        <v>0.80994710504200751</v>
      </c>
      <c r="K69" s="58">
        <f t="shared" si="11"/>
        <v>1680513.4548184103</v>
      </c>
      <c r="L69" s="58">
        <f t="shared" si="12"/>
        <v>7171103.0830912851</v>
      </c>
      <c r="M69" s="79">
        <f t="shared" si="20"/>
        <v>0.81014615266927692</v>
      </c>
      <c r="N69" s="58">
        <f t="shared" si="13"/>
        <v>1533116.946011815</v>
      </c>
      <c r="O69" s="58">
        <f t="shared" si="21"/>
        <v>0</v>
      </c>
      <c r="P69" s="79">
        <f t="shared" si="22"/>
        <v>0</v>
      </c>
      <c r="Q69" s="58">
        <f t="shared" si="23"/>
        <v>10374190.17765981</v>
      </c>
      <c r="R69" s="58">
        <f t="shared" si="24"/>
        <v>37687211.048746184</v>
      </c>
      <c r="S69" s="79">
        <f t="shared" si="25"/>
        <v>0.78414715524440437</v>
      </c>
      <c r="T69" s="565">
        <f>Q69/ITA!B67*1000</f>
        <v>75.792922726745942</v>
      </c>
      <c r="U69" s="565"/>
      <c r="V69" s="464">
        <f>'FY 19 State Pmt'!BL68</f>
        <v>28050287.960000005</v>
      </c>
      <c r="W69" s="465">
        <f>'Prop Tax'!K67</f>
        <v>11946074.83254648</v>
      </c>
      <c r="X69" s="535">
        <f t="shared" si="17"/>
        <v>39996362.792546481</v>
      </c>
      <c r="Y69" s="565"/>
      <c r="Z69" s="559">
        <f t="shared" si="26"/>
        <v>-2309151.7438002974</v>
      </c>
      <c r="AA69" s="565"/>
      <c r="AB69" s="393">
        <f t="shared" si="27"/>
        <v>2309151.7438002974</v>
      </c>
      <c r="AC69" s="582">
        <f t="shared" si="28"/>
        <v>39996362.792546481</v>
      </c>
      <c r="AD69" s="393">
        <f t="shared" si="19"/>
        <v>0</v>
      </c>
      <c r="AE69" s="79">
        <f t="shared" si="29"/>
        <v>0.83219302333972744</v>
      </c>
      <c r="AF69" s="559">
        <f t="shared" si="30"/>
        <v>8065038.4338595048</v>
      </c>
      <c r="AG69" s="565">
        <f>AF69/ITA!B67*1000</f>
        <v>58.92246279830966</v>
      </c>
    </row>
    <row r="70" spans="1:33" x14ac:dyDescent="0.25">
      <c r="A70" s="125" t="s">
        <v>67</v>
      </c>
      <c r="B70" s="126">
        <v>15618.17</v>
      </c>
      <c r="C70" s="127">
        <v>1.8679000000000001E-2</v>
      </c>
      <c r="D70" s="128">
        <f>'Total Inst. Cost'!G68</f>
        <v>91978010.13056688</v>
      </c>
      <c r="E70" s="128">
        <f>Facilities!J78</f>
        <v>21631567.952527069</v>
      </c>
      <c r="F70" s="128">
        <f>'District Services'!K77</f>
        <v>3872610.0483937324</v>
      </c>
      <c r="G70" s="433">
        <f t="shared" si="7"/>
        <v>117482188.13148767</v>
      </c>
      <c r="H70" s="128">
        <f t="shared" si="8"/>
        <v>15999054.553995194</v>
      </c>
      <c r="I70" s="128">
        <f t="shared" si="9"/>
        <v>75978955.576571688</v>
      </c>
      <c r="J70" s="132">
        <f t="shared" si="10"/>
        <v>0.8260556568762053</v>
      </c>
      <c r="K70" s="128">
        <f t="shared" si="11"/>
        <v>3754821.8687264463</v>
      </c>
      <c r="L70" s="128">
        <f t="shared" si="12"/>
        <v>17876746.083800621</v>
      </c>
      <c r="M70" s="132">
        <f t="shared" si="20"/>
        <v>0.82641933876606499</v>
      </c>
      <c r="N70" s="128">
        <f t="shared" si="13"/>
        <v>3872610.0483937324</v>
      </c>
      <c r="O70" s="128">
        <f t="shared" si="21"/>
        <v>0</v>
      </c>
      <c r="P70" s="132">
        <f t="shared" si="22"/>
        <v>0</v>
      </c>
      <c r="Q70" s="128">
        <f t="shared" si="23"/>
        <v>23626486.471115373</v>
      </c>
      <c r="R70" s="128">
        <f t="shared" si="24"/>
        <v>93855701.660372317</v>
      </c>
      <c r="S70" s="132">
        <f t="shared" si="25"/>
        <v>0.7988930335152401</v>
      </c>
      <c r="T70" s="564">
        <f>Q70/ITA!B68*1000</f>
        <v>77.252853510180103</v>
      </c>
      <c r="U70" s="564"/>
      <c r="V70" s="462">
        <f>'FY 19 State Pmt'!BL69</f>
        <v>64731147.499999993</v>
      </c>
      <c r="W70" s="463">
        <f>'Prop Tax'!K68</f>
        <v>22901317.521250933</v>
      </c>
      <c r="X70" s="533">
        <f t="shared" si="17"/>
        <v>87632465.021250933</v>
      </c>
      <c r="Y70" s="564"/>
      <c r="Z70" s="560">
        <f t="shared" si="26"/>
        <v>6223236.6391213834</v>
      </c>
      <c r="AA70" s="564"/>
      <c r="AB70" s="392">
        <f t="shared" si="27"/>
        <v>0</v>
      </c>
      <c r="AC70" s="581">
        <f t="shared" si="28"/>
        <v>93855701.660372317</v>
      </c>
      <c r="AD70" s="392">
        <f t="shared" si="19"/>
        <v>6223236.6391213834</v>
      </c>
      <c r="AE70" s="132">
        <f t="shared" si="29"/>
        <v>0.7988930335152401</v>
      </c>
      <c r="AF70" s="560">
        <f t="shared" si="30"/>
        <v>23626486.471115351</v>
      </c>
      <c r="AG70" s="564">
        <f>AF70/ITA!B68*1000</f>
        <v>77.252853510180032</v>
      </c>
    </row>
    <row r="71" spans="1:33" x14ac:dyDescent="0.25">
      <c r="A71" s="123" t="s">
        <v>68</v>
      </c>
      <c r="B71" s="47">
        <v>22502.1</v>
      </c>
      <c r="C71" s="73">
        <v>3.8279000000000001E-2</v>
      </c>
      <c r="D71" s="136">
        <f>'Total Inst. Cost'!G69</f>
        <v>138654029.90113798</v>
      </c>
      <c r="E71" s="136">
        <f>Facilities!J79</f>
        <v>32271398.274873096</v>
      </c>
      <c r="F71" s="136">
        <f>'District Services'!K78</f>
        <v>4205746.9713399913</v>
      </c>
      <c r="G71" s="432">
        <f t="shared" si="7"/>
        <v>175131175.14735109</v>
      </c>
      <c r="H71" s="136">
        <f t="shared" si="8"/>
        <v>32786969.820246376</v>
      </c>
      <c r="I71" s="136">
        <f t="shared" si="9"/>
        <v>105867060.08089161</v>
      </c>
      <c r="J71" s="79">
        <f t="shared" si="10"/>
        <v>0.76353395683036496</v>
      </c>
      <c r="K71" s="136">
        <f t="shared" si="11"/>
        <v>7694781.6431810921</v>
      </c>
      <c r="L71" s="136">
        <f t="shared" si="12"/>
        <v>24576616.631692003</v>
      </c>
      <c r="M71" s="79">
        <f t="shared" ref="M71:M88" si="31">L71/E71</f>
        <v>0.76156032727059297</v>
      </c>
      <c r="N71" s="136">
        <f t="shared" si="13"/>
        <v>4205746.9713399913</v>
      </c>
      <c r="O71" s="136">
        <f t="shared" ref="O71:O87" si="32">F71-N71</f>
        <v>0</v>
      </c>
      <c r="P71" s="79">
        <f t="shared" ref="P71:P88" si="33">O71/F71</f>
        <v>0</v>
      </c>
      <c r="Q71" s="136">
        <f t="shared" ref="Q71:Q87" si="34">H71+K71+N71</f>
        <v>44687498.434767462</v>
      </c>
      <c r="R71" s="136">
        <f t="shared" ref="R71:R87" si="35">I71+L71+O71</f>
        <v>130443676.71258362</v>
      </c>
      <c r="S71" s="79">
        <f t="shared" ref="S71:S88" si="36">R71/G71</f>
        <v>0.74483413134658349</v>
      </c>
      <c r="T71" s="565">
        <f>Q71/ITA!B69*1000</f>
        <v>71.301628948523742</v>
      </c>
      <c r="U71" s="565"/>
      <c r="V71" s="464">
        <f>'FY 19 State Pmt'!BL70</f>
        <v>94439163.089999989</v>
      </c>
      <c r="W71" s="465">
        <f>'Prop Tax'!K69</f>
        <v>59859178.193128958</v>
      </c>
      <c r="X71" s="535">
        <f t="shared" si="17"/>
        <v>154298341.28312895</v>
      </c>
      <c r="Y71" s="565"/>
      <c r="Z71" s="559">
        <f t="shared" ref="Z71:Z87" si="37">R71-X71</f>
        <v>-23854664.570545331</v>
      </c>
      <c r="AA71" s="565"/>
      <c r="AB71" s="393">
        <f t="shared" ref="AB71:AB87" si="38">IF(Z71&lt;0,X71-R71,0)</f>
        <v>23854664.570545331</v>
      </c>
      <c r="AC71" s="582">
        <f t="shared" ref="AC71:AC87" si="39">AB71+R71</f>
        <v>154298341.28312895</v>
      </c>
      <c r="AD71" s="393">
        <f t="shared" si="19"/>
        <v>0</v>
      </c>
      <c r="AE71" s="79">
        <f t="shared" ref="AE71:AE88" si="40">AC71/G71</f>
        <v>0.88104440088011804</v>
      </c>
      <c r="AF71" s="559">
        <f t="shared" ref="AF71:AF87" si="41">G71-AC71</f>
        <v>20832833.864222139</v>
      </c>
      <c r="AG71" s="565">
        <f>AF71/ITA!B69*1000</f>
        <v>33.240056887528404</v>
      </c>
    </row>
    <row r="72" spans="1:33" x14ac:dyDescent="0.25">
      <c r="A72" s="125" t="s">
        <v>69</v>
      </c>
      <c r="B72" s="126">
        <v>27586.57</v>
      </c>
      <c r="C72" s="127">
        <v>1.8938E-2</v>
      </c>
      <c r="D72" s="128">
        <f>'Total Inst. Cost'!G70</f>
        <v>160070963.90505502</v>
      </c>
      <c r="E72" s="128">
        <f>Facilities!J80</f>
        <v>37843261.77313</v>
      </c>
      <c r="F72" s="128">
        <f>'District Services'!K79</f>
        <v>4354236.8594544223</v>
      </c>
      <c r="G72" s="433">
        <f t="shared" ref="G72:G87" si="42">SUM(D72:F72)</f>
        <v>202268462.53763944</v>
      </c>
      <c r="H72" s="128">
        <f t="shared" ref="H72:H87" si="43">C72*($D$88*$H$6)</f>
        <v>16220894.862870656</v>
      </c>
      <c r="I72" s="128">
        <f t="shared" ref="I72:I87" si="44">D72-H72</f>
        <v>143850069.04218435</v>
      </c>
      <c r="J72" s="132">
        <f t="shared" ref="J72:J88" si="45">I72/D72</f>
        <v>0.89866435194023087</v>
      </c>
      <c r="K72" s="128">
        <f t="shared" ref="K72:K87" si="46">C72*($E$88*$K$6)</f>
        <v>3806885.6228888822</v>
      </c>
      <c r="L72" s="128">
        <f t="shared" ref="L72:L87" si="47">E72-K72</f>
        <v>34036376.150241114</v>
      </c>
      <c r="M72" s="132">
        <f t="shared" si="31"/>
        <v>0.89940387153435319</v>
      </c>
      <c r="N72" s="128">
        <f t="shared" ref="N72:N87" si="48">F72</f>
        <v>4354236.8594544223</v>
      </c>
      <c r="O72" s="128">
        <f t="shared" si="32"/>
        <v>0</v>
      </c>
      <c r="P72" s="132">
        <f t="shared" si="33"/>
        <v>0</v>
      </c>
      <c r="Q72" s="128">
        <f t="shared" si="34"/>
        <v>24382017.345213961</v>
      </c>
      <c r="R72" s="128">
        <f t="shared" si="35"/>
        <v>177886445.19242546</v>
      </c>
      <c r="S72" s="132">
        <f t="shared" si="36"/>
        <v>0.87945714799371244</v>
      </c>
      <c r="T72" s="564">
        <f>Q72/ITA!B70*1000</f>
        <v>78.634926465040294</v>
      </c>
      <c r="U72" s="564"/>
      <c r="V72" s="462">
        <f>'FY 19 State Pmt'!BL71</f>
        <v>131416739.18999998</v>
      </c>
      <c r="W72" s="463">
        <f>'Prop Tax'!K70</f>
        <v>53590007.718857341</v>
      </c>
      <c r="X72" s="533">
        <f t="shared" ref="X72:X87" si="49">V72+W72</f>
        <v>185006746.90885732</v>
      </c>
      <c r="Y72" s="564"/>
      <c r="Z72" s="560">
        <f t="shared" si="37"/>
        <v>-7120301.7164318562</v>
      </c>
      <c r="AA72" s="564"/>
      <c r="AB72" s="392">
        <f t="shared" si="38"/>
        <v>7120301.7164318562</v>
      </c>
      <c r="AC72" s="581">
        <f t="shared" si="39"/>
        <v>185006746.90885732</v>
      </c>
      <c r="AD72" s="392">
        <f t="shared" si="19"/>
        <v>0</v>
      </c>
      <c r="AE72" s="132">
        <f t="shared" si="40"/>
        <v>0.91465938183235085</v>
      </c>
      <c r="AF72" s="560">
        <f t="shared" si="41"/>
        <v>17261715.628782123</v>
      </c>
      <c r="AG72" s="564">
        <f>AF72/ITA!B70*1000</f>
        <v>55.671100545589724</v>
      </c>
    </row>
    <row r="73" spans="1:33" x14ac:dyDescent="0.25">
      <c r="A73" s="123" t="s">
        <v>70</v>
      </c>
      <c r="B73" s="47">
        <v>2197.3200000000002</v>
      </c>
      <c r="C73" s="73">
        <v>1.9880000000000002E-3</v>
      </c>
      <c r="D73" s="58">
        <f>'Total Inst. Cost'!G71</f>
        <v>14115630.830331624</v>
      </c>
      <c r="E73" s="58">
        <f>Facilities!J81</f>
        <v>3220078.7748957039</v>
      </c>
      <c r="F73" s="58">
        <f>'District Services'!K80</f>
        <v>1210825.467771299</v>
      </c>
      <c r="G73" s="434">
        <f t="shared" si="42"/>
        <v>18546535.072998628</v>
      </c>
      <c r="H73" s="58">
        <f t="shared" si="43"/>
        <v>1702774.2627197627</v>
      </c>
      <c r="I73" s="58">
        <f t="shared" si="44"/>
        <v>12412856.56761186</v>
      </c>
      <c r="J73" s="79">
        <f t="shared" si="45"/>
        <v>0.87936959508314372</v>
      </c>
      <c r="K73" s="58">
        <f t="shared" si="46"/>
        <v>399624.49140897131</v>
      </c>
      <c r="L73" s="58">
        <f t="shared" si="47"/>
        <v>2820454.2834867327</v>
      </c>
      <c r="M73" s="79">
        <f t="shared" si="31"/>
        <v>0.87589605120082359</v>
      </c>
      <c r="N73" s="58">
        <f t="shared" si="48"/>
        <v>1210825.467771299</v>
      </c>
      <c r="O73" s="58">
        <f t="shared" si="32"/>
        <v>0</v>
      </c>
      <c r="P73" s="79">
        <f t="shared" si="33"/>
        <v>0</v>
      </c>
      <c r="Q73" s="58">
        <f t="shared" si="34"/>
        <v>3313224.2219000328</v>
      </c>
      <c r="R73" s="58">
        <f t="shared" si="35"/>
        <v>15233310.851098593</v>
      </c>
      <c r="S73" s="79">
        <f t="shared" si="36"/>
        <v>0.82135616119888277</v>
      </c>
      <c r="T73" s="565">
        <f>Q73/ITA!B71*1000</f>
        <v>101.76730546490406</v>
      </c>
      <c r="U73" s="565"/>
      <c r="V73" s="464">
        <f>'FY 19 State Pmt'!BL72</f>
        <v>11322676.370000001</v>
      </c>
      <c r="W73" s="465">
        <f>'Prop Tax'!K71</f>
        <v>3432164.1648954973</v>
      </c>
      <c r="X73" s="535">
        <f t="shared" si="49"/>
        <v>14754840.534895498</v>
      </c>
      <c r="Y73" s="565"/>
      <c r="Z73" s="559">
        <f t="shared" si="37"/>
        <v>478470.31620309502</v>
      </c>
      <c r="AA73" s="565"/>
      <c r="AB73" s="393">
        <f t="shared" si="38"/>
        <v>0</v>
      </c>
      <c r="AC73" s="582">
        <f t="shared" si="39"/>
        <v>15233310.851098593</v>
      </c>
      <c r="AD73" s="393">
        <f t="shared" si="19"/>
        <v>478470.31620309502</v>
      </c>
      <c r="AE73" s="79">
        <f t="shared" si="40"/>
        <v>0.82135616119888277</v>
      </c>
      <c r="AF73" s="559">
        <f t="shared" si="41"/>
        <v>3313224.2219000347</v>
      </c>
      <c r="AG73" s="565">
        <f>AF73/ITA!B71*1000</f>
        <v>101.76730546490411</v>
      </c>
    </row>
    <row r="74" spans="1:33" x14ac:dyDescent="0.25">
      <c r="A74" s="125" t="s">
        <v>71</v>
      </c>
      <c r="B74" s="126">
        <v>4904.8</v>
      </c>
      <c r="C74" s="127">
        <v>3.29E-3</v>
      </c>
      <c r="D74" s="128">
        <f>'Total Inst. Cost'!G72</f>
        <v>28507579.743300911</v>
      </c>
      <c r="E74" s="128">
        <f>Facilities!J82</f>
        <v>6697040.8070405433</v>
      </c>
      <c r="F74" s="128">
        <f>'District Services'!K81</f>
        <v>1311653.6540530578</v>
      </c>
      <c r="G74" s="433">
        <f t="shared" si="42"/>
        <v>36516274.204394512</v>
      </c>
      <c r="H74" s="128">
        <f t="shared" si="43"/>
        <v>2817971.4911207338</v>
      </c>
      <c r="I74" s="128">
        <f t="shared" si="44"/>
        <v>25689608.252180178</v>
      </c>
      <c r="J74" s="132">
        <f t="shared" si="45"/>
        <v>0.90115009704452598</v>
      </c>
      <c r="K74" s="128">
        <f t="shared" si="46"/>
        <v>661350.39071202988</v>
      </c>
      <c r="L74" s="128">
        <f t="shared" si="47"/>
        <v>6035690.4163285131</v>
      </c>
      <c r="M74" s="132">
        <f t="shared" si="31"/>
        <v>0.90124737032858482</v>
      </c>
      <c r="N74" s="128">
        <f t="shared" si="48"/>
        <v>1311653.6540530578</v>
      </c>
      <c r="O74" s="128">
        <f t="shared" si="32"/>
        <v>0</v>
      </c>
      <c r="P74" s="132">
        <f t="shared" si="33"/>
        <v>0</v>
      </c>
      <c r="Q74" s="128">
        <f t="shared" si="34"/>
        <v>4790975.5358858211</v>
      </c>
      <c r="R74" s="128">
        <f t="shared" si="35"/>
        <v>31725298.66850869</v>
      </c>
      <c r="S74" s="132">
        <f t="shared" si="36"/>
        <v>0.86879889473200256</v>
      </c>
      <c r="T74" s="564">
        <f>Q74/ITA!B72*1000</f>
        <v>88.931080007972497</v>
      </c>
      <c r="U74" s="564"/>
      <c r="V74" s="462">
        <f>'FY 19 State Pmt'!BL73</f>
        <v>22728219.179999996</v>
      </c>
      <c r="W74" s="463">
        <f>'Prop Tax'!K72</f>
        <v>11292735.187522516</v>
      </c>
      <c r="X74" s="533">
        <f t="shared" si="49"/>
        <v>34020954.367522508</v>
      </c>
      <c r="Y74" s="564"/>
      <c r="Z74" s="560">
        <f t="shared" si="37"/>
        <v>-2295655.6990138181</v>
      </c>
      <c r="AA74" s="564"/>
      <c r="AB74" s="392">
        <f t="shared" si="38"/>
        <v>2295655.6990138181</v>
      </c>
      <c r="AC74" s="581">
        <f t="shared" si="39"/>
        <v>34020954.367522508</v>
      </c>
      <c r="AD74" s="392">
        <f t="shared" ref="AD74:AD87" si="50">AC74-X74</f>
        <v>0</v>
      </c>
      <c r="AE74" s="132">
        <f t="shared" si="40"/>
        <v>0.93166554115283462</v>
      </c>
      <c r="AF74" s="560">
        <f t="shared" si="41"/>
        <v>2495319.836872004</v>
      </c>
      <c r="AG74" s="564">
        <f>AF74/ITA!B72*1000</f>
        <v>46.31864354058218</v>
      </c>
    </row>
    <row r="75" spans="1:33" x14ac:dyDescent="0.25">
      <c r="A75" s="123" t="s">
        <v>72</v>
      </c>
      <c r="B75" s="47">
        <v>9921.15</v>
      </c>
      <c r="C75" s="73">
        <v>7.1409999999999998E-3</v>
      </c>
      <c r="D75" s="136">
        <f>'Total Inst. Cost'!G73</f>
        <v>58162454.87617638</v>
      </c>
      <c r="E75" s="136">
        <f>Facilities!J83</f>
        <v>13723362.632142251</v>
      </c>
      <c r="F75" s="136">
        <f>'District Services'!K82</f>
        <v>2579291.9625073913</v>
      </c>
      <c r="G75" s="432">
        <f t="shared" si="42"/>
        <v>74465109.47082603</v>
      </c>
      <c r="H75" s="136">
        <f t="shared" si="43"/>
        <v>6116454.2304234523</v>
      </c>
      <c r="I75" s="136">
        <f t="shared" si="44"/>
        <v>52046000.645752929</v>
      </c>
      <c r="J75" s="79">
        <f t="shared" si="45"/>
        <v>0.89483844443215244</v>
      </c>
      <c r="K75" s="136">
        <f t="shared" si="46"/>
        <v>1435472.0790500322</v>
      </c>
      <c r="L75" s="136">
        <f t="shared" si="47"/>
        <v>12287890.553092219</v>
      </c>
      <c r="M75" s="79">
        <f t="shared" si="31"/>
        <v>0.89539939171410265</v>
      </c>
      <c r="N75" s="136">
        <f t="shared" si="48"/>
        <v>2579291.9625073913</v>
      </c>
      <c r="O75" s="136">
        <f t="shared" si="32"/>
        <v>0</v>
      </c>
      <c r="P75" s="79">
        <f t="shared" si="33"/>
        <v>0</v>
      </c>
      <c r="Q75" s="136">
        <f t="shared" si="34"/>
        <v>10131218.271980876</v>
      </c>
      <c r="R75" s="136">
        <f t="shared" si="35"/>
        <v>64333891.198845148</v>
      </c>
      <c r="S75" s="79">
        <f t="shared" si="36"/>
        <v>0.86394677528876673</v>
      </c>
      <c r="T75" s="565">
        <f>Q75/ITA!B73*1000</f>
        <v>86.649167908638759</v>
      </c>
      <c r="U75" s="565"/>
      <c r="V75" s="464">
        <f>'FY 19 State Pmt'!BL74</f>
        <v>44964591.739999995</v>
      </c>
      <c r="W75" s="465">
        <f>'Prop Tax'!K73</f>
        <v>17310919.055340253</v>
      </c>
      <c r="X75" s="535">
        <f t="shared" si="49"/>
        <v>62275510.795340247</v>
      </c>
      <c r="Y75" s="565"/>
      <c r="Z75" s="559">
        <f t="shared" si="37"/>
        <v>2058380.4035049006</v>
      </c>
      <c r="AA75" s="565"/>
      <c r="AB75" s="393">
        <f t="shared" si="38"/>
        <v>0</v>
      </c>
      <c r="AC75" s="582">
        <f t="shared" si="39"/>
        <v>64333891.198845148</v>
      </c>
      <c r="AD75" s="393">
        <f t="shared" si="50"/>
        <v>2058380.4035049006</v>
      </c>
      <c r="AE75" s="79">
        <f t="shared" si="40"/>
        <v>0.86394677528876673</v>
      </c>
      <c r="AF75" s="559">
        <f t="shared" si="41"/>
        <v>10131218.271980882</v>
      </c>
      <c r="AG75" s="565">
        <f>AF75/ITA!B73*1000</f>
        <v>86.649167908638816</v>
      </c>
    </row>
    <row r="76" spans="1:33" x14ac:dyDescent="0.25">
      <c r="A76" s="125" t="s">
        <v>73</v>
      </c>
      <c r="B76" s="126">
        <v>2737.16</v>
      </c>
      <c r="C76" s="127">
        <v>3.019E-3</v>
      </c>
      <c r="D76" s="128">
        <f>'Total Inst. Cost'!G74</f>
        <v>16916675.618235309</v>
      </c>
      <c r="E76" s="128">
        <f>Facilities!J84</f>
        <v>3938448.5102745676</v>
      </c>
      <c r="F76" s="128">
        <f>'District Services'!K83</f>
        <v>1232000.521468305</v>
      </c>
      <c r="G76" s="433">
        <f t="shared" si="42"/>
        <v>22087124.649978179</v>
      </c>
      <c r="H76" s="128">
        <f t="shared" si="43"/>
        <v>2585852.8667761385</v>
      </c>
      <c r="I76" s="128">
        <f t="shared" si="44"/>
        <v>14330822.75145917</v>
      </c>
      <c r="J76" s="132">
        <f t="shared" si="45"/>
        <v>0.84714178334254264</v>
      </c>
      <c r="K76" s="128">
        <f t="shared" si="46"/>
        <v>606874.41627951921</v>
      </c>
      <c r="L76" s="128">
        <f t="shared" si="47"/>
        <v>3331574.0939950487</v>
      </c>
      <c r="M76" s="132">
        <f t="shared" si="31"/>
        <v>0.8459102830222831</v>
      </c>
      <c r="N76" s="128">
        <f t="shared" si="48"/>
        <v>1232000.521468305</v>
      </c>
      <c r="O76" s="128">
        <f t="shared" si="32"/>
        <v>0</v>
      </c>
      <c r="P76" s="132">
        <f t="shared" si="33"/>
        <v>0</v>
      </c>
      <c r="Q76" s="128">
        <f t="shared" si="34"/>
        <v>4424727.8045239625</v>
      </c>
      <c r="R76" s="128">
        <f t="shared" si="35"/>
        <v>17662396.84545422</v>
      </c>
      <c r="S76" s="132">
        <f t="shared" si="36"/>
        <v>0.79966936055987115</v>
      </c>
      <c r="T76" s="564">
        <f>Q76/ITA!B74*1000</f>
        <v>89.521391517170827</v>
      </c>
      <c r="U76" s="564"/>
      <c r="V76" s="462">
        <f>'FY 19 State Pmt'!BL75</f>
        <v>13270798.720000003</v>
      </c>
      <c r="W76" s="463">
        <f>'Prop Tax'!K74</f>
        <v>6106575.3989446247</v>
      </c>
      <c r="X76" s="533">
        <f t="shared" si="49"/>
        <v>19377374.118944626</v>
      </c>
      <c r="Y76" s="564"/>
      <c r="Z76" s="560">
        <f t="shared" si="37"/>
        <v>-1714977.2734904066</v>
      </c>
      <c r="AA76" s="564"/>
      <c r="AB76" s="392">
        <f t="shared" si="38"/>
        <v>1714977.2734904066</v>
      </c>
      <c r="AC76" s="581">
        <f t="shared" si="39"/>
        <v>19377374.118944626</v>
      </c>
      <c r="AD76" s="392">
        <f t="shared" si="50"/>
        <v>0</v>
      </c>
      <c r="AE76" s="132">
        <f t="shared" si="40"/>
        <v>0.87731537834933937</v>
      </c>
      <c r="AF76" s="560">
        <f t="shared" si="41"/>
        <v>2709750.5310335532</v>
      </c>
      <c r="AG76" s="564">
        <f>AF76/ITA!B74*1000</f>
        <v>54.823855595025577</v>
      </c>
    </row>
    <row r="77" spans="1:33" x14ac:dyDescent="0.25">
      <c r="A77" s="123" t="s">
        <v>74</v>
      </c>
      <c r="B77" s="47">
        <v>2669.43</v>
      </c>
      <c r="C77" s="73">
        <v>1.9759999999999999E-3</v>
      </c>
      <c r="D77" s="58">
        <f>'Total Inst. Cost'!G75</f>
        <v>16197562.658636674</v>
      </c>
      <c r="E77" s="58">
        <f>Facilities!J85</f>
        <v>3791095.6506472537</v>
      </c>
      <c r="F77" s="58">
        <f>'District Services'!K84</f>
        <v>1226902.3142279794</v>
      </c>
      <c r="G77" s="434">
        <f t="shared" si="42"/>
        <v>21215560.623511907</v>
      </c>
      <c r="H77" s="58">
        <f t="shared" si="43"/>
        <v>1692495.9472506291</v>
      </c>
      <c r="I77" s="58">
        <f t="shared" si="44"/>
        <v>14505066.711386045</v>
      </c>
      <c r="J77" s="79">
        <f t="shared" si="45"/>
        <v>0.8955092205586761</v>
      </c>
      <c r="K77" s="58">
        <f t="shared" si="46"/>
        <v>397212.27113889699</v>
      </c>
      <c r="L77" s="58">
        <f t="shared" si="47"/>
        <v>3393883.3795083566</v>
      </c>
      <c r="M77" s="79">
        <f t="shared" si="31"/>
        <v>0.89522494082388004</v>
      </c>
      <c r="N77" s="58">
        <f t="shared" si="48"/>
        <v>1226902.3142279794</v>
      </c>
      <c r="O77" s="58">
        <f t="shared" si="32"/>
        <v>0</v>
      </c>
      <c r="P77" s="79">
        <f t="shared" si="33"/>
        <v>0</v>
      </c>
      <c r="Q77" s="58">
        <f t="shared" si="34"/>
        <v>3316610.5326175056</v>
      </c>
      <c r="R77" s="58">
        <f t="shared" si="35"/>
        <v>17898950.090894401</v>
      </c>
      <c r="S77" s="79">
        <f t="shared" si="36"/>
        <v>0.84367085124576391</v>
      </c>
      <c r="T77" s="565">
        <f>Q77/ITA!B75*1000</f>
        <v>102.54005599639783</v>
      </c>
      <c r="U77" s="565"/>
      <c r="V77" s="464">
        <f>'FY 19 State Pmt'!BL76</f>
        <v>12879667.939999999</v>
      </c>
      <c r="W77" s="465">
        <f>'Prop Tax'!K75</f>
        <v>4278581.9397553345</v>
      </c>
      <c r="X77" s="535">
        <f t="shared" si="49"/>
        <v>17158249.879755333</v>
      </c>
      <c r="Y77" s="565"/>
      <c r="Z77" s="559">
        <f t="shared" si="37"/>
        <v>740700.21113906801</v>
      </c>
      <c r="AA77" s="565"/>
      <c r="AB77" s="393">
        <f t="shared" si="38"/>
        <v>0</v>
      </c>
      <c r="AC77" s="582">
        <f t="shared" si="39"/>
        <v>17898950.090894401</v>
      </c>
      <c r="AD77" s="393">
        <f t="shared" si="50"/>
        <v>740700.21113906801</v>
      </c>
      <c r="AE77" s="79">
        <f t="shared" si="40"/>
        <v>0.84367085124576391</v>
      </c>
      <c r="AF77" s="559">
        <f t="shared" si="41"/>
        <v>3316610.5326175056</v>
      </c>
      <c r="AG77" s="565">
        <f>AF77/ITA!B75*1000</f>
        <v>102.54005599639783</v>
      </c>
    </row>
    <row r="78" spans="1:33" x14ac:dyDescent="0.25">
      <c r="A78" s="125" t="s">
        <v>75</v>
      </c>
      <c r="B78" s="126">
        <v>8533.4500000000007</v>
      </c>
      <c r="C78" s="127">
        <v>1.2848E-2</v>
      </c>
      <c r="D78" s="128">
        <f>'Total Inst. Cost'!G76</f>
        <v>49667500.700819165</v>
      </c>
      <c r="E78" s="128">
        <f>Facilities!J86</f>
        <v>11785458.847338295</v>
      </c>
      <c r="F78" s="128">
        <f>'District Services'!K85</f>
        <v>2219280.518940018</v>
      </c>
      <c r="G78" s="433">
        <f t="shared" si="42"/>
        <v>63672240.067097478</v>
      </c>
      <c r="H78" s="128">
        <f t="shared" si="43"/>
        <v>11004649.762285467</v>
      </c>
      <c r="I78" s="128">
        <f t="shared" si="44"/>
        <v>38662850.938533694</v>
      </c>
      <c r="J78" s="132">
        <f t="shared" si="45"/>
        <v>0.77843359124160694</v>
      </c>
      <c r="K78" s="128">
        <f t="shared" si="46"/>
        <v>2582683.8358261888</v>
      </c>
      <c r="L78" s="128">
        <f t="shared" si="47"/>
        <v>9202775.0115121063</v>
      </c>
      <c r="M78" s="132">
        <f t="shared" si="31"/>
        <v>0.7808584401099089</v>
      </c>
      <c r="N78" s="128">
        <f t="shared" si="48"/>
        <v>2219280.518940018</v>
      </c>
      <c r="O78" s="128">
        <f t="shared" si="32"/>
        <v>0</v>
      </c>
      <c r="P78" s="132">
        <f t="shared" si="33"/>
        <v>0</v>
      </c>
      <c r="Q78" s="128">
        <f t="shared" si="34"/>
        <v>15806614.117051674</v>
      </c>
      <c r="R78" s="128">
        <f t="shared" si="35"/>
        <v>47865625.950045802</v>
      </c>
      <c r="S78" s="132">
        <f t="shared" si="36"/>
        <v>0.75175030593560477</v>
      </c>
      <c r="T78" s="564">
        <f>Q78/ITA!B76*1000</f>
        <v>75.141311932742454</v>
      </c>
      <c r="U78" s="564"/>
      <c r="V78" s="462">
        <f>'FY 19 State Pmt'!BL77</f>
        <v>33827597.670000009</v>
      </c>
      <c r="W78" s="463">
        <f>'Prop Tax'!K76</f>
        <v>15283691.607939929</v>
      </c>
      <c r="X78" s="533">
        <f t="shared" si="49"/>
        <v>49111289.277939938</v>
      </c>
      <c r="Y78" s="564"/>
      <c r="Z78" s="560">
        <f t="shared" si="37"/>
        <v>-1245663.3278941363</v>
      </c>
      <c r="AA78" s="564"/>
      <c r="AB78" s="392">
        <f t="shared" si="38"/>
        <v>1245663.3278941363</v>
      </c>
      <c r="AC78" s="581">
        <f t="shared" si="39"/>
        <v>49111289.277939938</v>
      </c>
      <c r="AD78" s="392">
        <f t="shared" si="50"/>
        <v>0</v>
      </c>
      <c r="AE78" s="132">
        <f t="shared" si="40"/>
        <v>0.77131398590950651</v>
      </c>
      <c r="AF78" s="560">
        <f t="shared" si="41"/>
        <v>14560950.78915754</v>
      </c>
      <c r="AG78" s="564">
        <f>AF78/ITA!B76*1000</f>
        <v>69.219691021942992</v>
      </c>
    </row>
    <row r="79" spans="1:33" x14ac:dyDescent="0.25">
      <c r="A79" s="123" t="s">
        <v>76</v>
      </c>
      <c r="B79" s="47">
        <v>10966.62</v>
      </c>
      <c r="C79" s="73">
        <v>1.154E-2</v>
      </c>
      <c r="D79" s="136">
        <f>'Total Inst. Cost'!G77</f>
        <v>67189240.106866941</v>
      </c>
      <c r="E79" s="136">
        <f>Facilities!J87</f>
        <v>15567826.260324059</v>
      </c>
      <c r="F79" s="136">
        <f>'District Services'!K86</f>
        <v>3092165.6986981137</v>
      </c>
      <c r="G79" s="432">
        <f t="shared" si="42"/>
        <v>85849232.06588912</v>
      </c>
      <c r="H79" s="136">
        <f t="shared" si="43"/>
        <v>9884313.3761499301</v>
      </c>
      <c r="I79" s="136">
        <f t="shared" si="44"/>
        <v>57304926.730717011</v>
      </c>
      <c r="J79" s="79">
        <f t="shared" si="45"/>
        <v>0.85288844820348364</v>
      </c>
      <c r="K79" s="136">
        <f t="shared" si="46"/>
        <v>2319751.8263880927</v>
      </c>
      <c r="L79" s="136">
        <f t="shared" si="47"/>
        <v>13248074.433935966</v>
      </c>
      <c r="M79" s="79">
        <f t="shared" si="31"/>
        <v>0.85099064008055003</v>
      </c>
      <c r="N79" s="136">
        <f t="shared" si="48"/>
        <v>3092165.6986981137</v>
      </c>
      <c r="O79" s="136">
        <f t="shared" si="32"/>
        <v>0</v>
      </c>
      <c r="P79" s="79">
        <f t="shared" si="33"/>
        <v>0</v>
      </c>
      <c r="Q79" s="136">
        <f t="shared" si="34"/>
        <v>15296230.901236136</v>
      </c>
      <c r="R79" s="136">
        <f t="shared" si="35"/>
        <v>70553001.164652973</v>
      </c>
      <c r="S79" s="79">
        <f t="shared" si="36"/>
        <v>0.82182448773104555</v>
      </c>
      <c r="T79" s="565">
        <f>Q79/ITA!B77*1000</f>
        <v>80.959633357245792</v>
      </c>
      <c r="U79" s="565"/>
      <c r="V79" s="464">
        <f>'FY 19 State Pmt'!BL78</f>
        <v>50435630.910000011</v>
      </c>
      <c r="W79" s="465">
        <f>'Prop Tax'!K77</f>
        <v>17428871.123002939</v>
      </c>
      <c r="X79" s="535">
        <f t="shared" si="49"/>
        <v>67864502.033002943</v>
      </c>
      <c r="Y79" s="565"/>
      <c r="Z79" s="559">
        <f t="shared" si="37"/>
        <v>2688499.1316500306</v>
      </c>
      <c r="AA79" s="565"/>
      <c r="AB79" s="393">
        <f t="shared" si="38"/>
        <v>0</v>
      </c>
      <c r="AC79" s="582">
        <f t="shared" si="39"/>
        <v>70553001.164652973</v>
      </c>
      <c r="AD79" s="393">
        <f t="shared" si="50"/>
        <v>2688499.1316500306</v>
      </c>
      <c r="AE79" s="79">
        <f t="shared" si="40"/>
        <v>0.82182448773104555</v>
      </c>
      <c r="AF79" s="559">
        <f t="shared" si="41"/>
        <v>15296230.901236147</v>
      </c>
      <c r="AG79" s="565">
        <f>AF79/ITA!B77*1000</f>
        <v>80.959633357245849</v>
      </c>
    </row>
    <row r="80" spans="1:33" x14ac:dyDescent="0.25">
      <c r="A80" s="125" t="s">
        <v>77</v>
      </c>
      <c r="B80" s="126">
        <v>7107.44</v>
      </c>
      <c r="C80" s="127">
        <v>9.4809999999999998E-3</v>
      </c>
      <c r="D80" s="128">
        <f>'Total Inst. Cost'!G78</f>
        <v>42364955.552934125</v>
      </c>
      <c r="E80" s="128">
        <f>Facilities!J88</f>
        <v>9988089.7917533983</v>
      </c>
      <c r="F80" s="128">
        <f>'District Services'!K87</f>
        <v>1715095.1184004669</v>
      </c>
      <c r="G80" s="433">
        <f t="shared" si="42"/>
        <v>54068140.463087991</v>
      </c>
      <c r="H80" s="128">
        <f t="shared" si="43"/>
        <v>8120725.7469044607</v>
      </c>
      <c r="I80" s="128">
        <f t="shared" si="44"/>
        <v>34244229.806029662</v>
      </c>
      <c r="J80" s="132">
        <f t="shared" si="45"/>
        <v>0.80831501789827709</v>
      </c>
      <c r="K80" s="128">
        <f t="shared" si="46"/>
        <v>1905855.0317145155</v>
      </c>
      <c r="L80" s="128">
        <f t="shared" si="47"/>
        <v>8082234.7600388825</v>
      </c>
      <c r="M80" s="132">
        <f t="shared" si="31"/>
        <v>0.80918723485164579</v>
      </c>
      <c r="N80" s="128">
        <f t="shared" si="48"/>
        <v>1715095.1184004669</v>
      </c>
      <c r="O80" s="128">
        <f t="shared" si="32"/>
        <v>0</v>
      </c>
      <c r="P80" s="132">
        <f t="shared" si="33"/>
        <v>0</v>
      </c>
      <c r="Q80" s="128">
        <f t="shared" si="34"/>
        <v>11741675.897019444</v>
      </c>
      <c r="R80" s="128">
        <f t="shared" si="35"/>
        <v>42326464.566068545</v>
      </c>
      <c r="S80" s="132">
        <f t="shared" si="36"/>
        <v>0.78283558863957192</v>
      </c>
      <c r="T80" s="564">
        <f>Q80/ITA!B78*1000</f>
        <v>75.636884702818804</v>
      </c>
      <c r="U80" s="564"/>
      <c r="V80" s="462">
        <f>'FY 19 State Pmt'!BL79</f>
        <v>30705837.949999996</v>
      </c>
      <c r="W80" s="463">
        <f>'Prop Tax'!K78</f>
        <v>16630543.368527502</v>
      </c>
      <c r="X80" s="533">
        <f t="shared" si="49"/>
        <v>47336381.318527497</v>
      </c>
      <c r="Y80" s="564"/>
      <c r="Z80" s="560">
        <f t="shared" si="37"/>
        <v>-5009916.7524589524</v>
      </c>
      <c r="AA80" s="564"/>
      <c r="AB80" s="392">
        <f t="shared" si="38"/>
        <v>5009916.7524589524</v>
      </c>
      <c r="AC80" s="581">
        <f t="shared" si="39"/>
        <v>47336381.318527497</v>
      </c>
      <c r="AD80" s="392">
        <f t="shared" si="50"/>
        <v>0</v>
      </c>
      <c r="AE80" s="132">
        <f t="shared" si="40"/>
        <v>0.8754949016758542</v>
      </c>
      <c r="AF80" s="560">
        <f t="shared" si="41"/>
        <v>6731759.1445604935</v>
      </c>
      <c r="AG80" s="564">
        <f>AF80/ITA!B78*1000</f>
        <v>43.364277359547785</v>
      </c>
    </row>
    <row r="81" spans="1:33" x14ac:dyDescent="0.25">
      <c r="A81" s="123" t="s">
        <v>78</v>
      </c>
      <c r="B81" s="47">
        <v>15888.61</v>
      </c>
      <c r="C81" s="73">
        <v>1.2165E-2</v>
      </c>
      <c r="D81" s="58">
        <f>'Total Inst. Cost'!G79</f>
        <v>98307537.191798344</v>
      </c>
      <c r="E81" s="58">
        <f>Facilities!J89</f>
        <v>22841286.039309006</v>
      </c>
      <c r="F81" s="58">
        <f>'District Services'!K88</f>
        <v>3919477.323274327</v>
      </c>
      <c r="G81" s="434">
        <f t="shared" si="42"/>
        <v>125068300.55438168</v>
      </c>
      <c r="H81" s="58">
        <f t="shared" si="43"/>
        <v>10419642.30683396</v>
      </c>
      <c r="I81" s="58">
        <f t="shared" si="44"/>
        <v>87887894.884964377</v>
      </c>
      <c r="J81" s="79">
        <f t="shared" si="45"/>
        <v>0.89400973104935777</v>
      </c>
      <c r="K81" s="58">
        <f t="shared" si="46"/>
        <v>2445388.2987877945</v>
      </c>
      <c r="L81" s="58">
        <f t="shared" si="47"/>
        <v>20395897.740521211</v>
      </c>
      <c r="M81" s="79">
        <f t="shared" si="31"/>
        <v>0.89293999056885975</v>
      </c>
      <c r="N81" s="58">
        <f t="shared" si="48"/>
        <v>3919477.323274327</v>
      </c>
      <c r="O81" s="58">
        <f t="shared" si="32"/>
        <v>0</v>
      </c>
      <c r="P81" s="79">
        <f t="shared" si="33"/>
        <v>0</v>
      </c>
      <c r="Q81" s="58">
        <f t="shared" si="34"/>
        <v>16784507.928896081</v>
      </c>
      <c r="R81" s="58">
        <f t="shared" si="35"/>
        <v>108283792.62548558</v>
      </c>
      <c r="S81" s="79">
        <f t="shared" si="36"/>
        <v>0.86579726553813752</v>
      </c>
      <c r="T81" s="565">
        <f>Q81/ITA!B79*1000</f>
        <v>84.271503727842216</v>
      </c>
      <c r="U81" s="565"/>
      <c r="V81" s="464">
        <f>'FY 19 State Pmt'!BL80</f>
        <v>77764909.240000024</v>
      </c>
      <c r="W81" s="465">
        <f>'Prop Tax'!K79</f>
        <v>20901974.990587439</v>
      </c>
      <c r="X81" s="535">
        <f t="shared" si="49"/>
        <v>98666884.230587468</v>
      </c>
      <c r="Y81" s="565"/>
      <c r="Z81" s="559">
        <f t="shared" si="37"/>
        <v>9616908.3948981166</v>
      </c>
      <c r="AA81" s="565"/>
      <c r="AB81" s="393">
        <f t="shared" si="38"/>
        <v>0</v>
      </c>
      <c r="AC81" s="582">
        <f t="shared" si="39"/>
        <v>108283792.62548558</v>
      </c>
      <c r="AD81" s="393">
        <f t="shared" si="50"/>
        <v>9616908.3948981166</v>
      </c>
      <c r="AE81" s="79">
        <f t="shared" si="40"/>
        <v>0.86579726553813752</v>
      </c>
      <c r="AF81" s="559">
        <f t="shared" si="41"/>
        <v>16784507.928896099</v>
      </c>
      <c r="AG81" s="565">
        <f>AF81/ITA!B79*1000</f>
        <v>84.271503727842315</v>
      </c>
    </row>
    <row r="82" spans="1:33" x14ac:dyDescent="0.25">
      <c r="A82" s="125" t="s">
        <v>79</v>
      </c>
      <c r="B82" s="126">
        <v>3787.02</v>
      </c>
      <c r="C82" s="127">
        <v>3.2360000000000002E-3</v>
      </c>
      <c r="D82" s="128">
        <f>'Total Inst. Cost'!G80</f>
        <v>23611644.233587757</v>
      </c>
      <c r="E82" s="128">
        <f>Facilities!J90</f>
        <v>5487591.2165351296</v>
      </c>
      <c r="F82" s="128">
        <f>'District Services'!K89</f>
        <v>1279669.8103043248</v>
      </c>
      <c r="G82" s="433">
        <f t="shared" si="42"/>
        <v>30378905.26042721</v>
      </c>
      <c r="H82" s="128">
        <f t="shared" si="43"/>
        <v>2771719.0715096337</v>
      </c>
      <c r="I82" s="128">
        <f t="shared" si="44"/>
        <v>20839925.162078124</v>
      </c>
      <c r="J82" s="132">
        <f t="shared" si="45"/>
        <v>0.88261219574167393</v>
      </c>
      <c r="K82" s="128">
        <f t="shared" si="46"/>
        <v>650495.39949669573</v>
      </c>
      <c r="L82" s="128">
        <f t="shared" si="47"/>
        <v>4837095.8170384336</v>
      </c>
      <c r="M82" s="132">
        <f t="shared" si="31"/>
        <v>0.88146066756273089</v>
      </c>
      <c r="N82" s="128">
        <f t="shared" si="48"/>
        <v>1279669.8103043248</v>
      </c>
      <c r="O82" s="128">
        <f t="shared" si="32"/>
        <v>0</v>
      </c>
      <c r="P82" s="132">
        <f t="shared" si="33"/>
        <v>0</v>
      </c>
      <c r="Q82" s="128">
        <f t="shared" si="34"/>
        <v>4701884.2813106542</v>
      </c>
      <c r="R82" s="128">
        <f t="shared" si="35"/>
        <v>25677020.979116559</v>
      </c>
      <c r="S82" s="132">
        <f t="shared" si="36"/>
        <v>0.84522535486374106</v>
      </c>
      <c r="T82" s="564">
        <f>Q82/ITA!B80*1000</f>
        <v>88.738040429960435</v>
      </c>
      <c r="U82" s="564"/>
      <c r="V82" s="462">
        <f>'FY 19 State Pmt'!BL81</f>
        <v>18576654.430000003</v>
      </c>
      <c r="W82" s="463">
        <f>'Prop Tax'!K80</f>
        <v>5640943.2722596163</v>
      </c>
      <c r="X82" s="533">
        <f t="shared" si="49"/>
        <v>24217597.702259619</v>
      </c>
      <c r="Y82" s="564"/>
      <c r="Z82" s="560">
        <f t="shared" si="37"/>
        <v>1459423.2768569402</v>
      </c>
      <c r="AA82" s="564"/>
      <c r="AB82" s="392">
        <f t="shared" si="38"/>
        <v>0</v>
      </c>
      <c r="AC82" s="581">
        <f t="shared" si="39"/>
        <v>25677020.979116559</v>
      </c>
      <c r="AD82" s="392">
        <f t="shared" si="50"/>
        <v>1459423.2768569402</v>
      </c>
      <c r="AE82" s="132">
        <f t="shared" si="40"/>
        <v>0.84522535486374106</v>
      </c>
      <c r="AF82" s="560">
        <f t="shared" si="41"/>
        <v>4701884.2813106515</v>
      </c>
      <c r="AG82" s="564">
        <f>AF82/ITA!B80*1000</f>
        <v>88.738040429960378</v>
      </c>
    </row>
    <row r="83" spans="1:33" x14ac:dyDescent="0.25">
      <c r="A83" s="123" t="s">
        <v>80</v>
      </c>
      <c r="B83" s="47">
        <v>3426.1</v>
      </c>
      <c r="C83" s="73">
        <v>4.633E-3</v>
      </c>
      <c r="D83" s="136">
        <f>'Total Inst. Cost'!G81</f>
        <v>22116081.577916391</v>
      </c>
      <c r="E83" s="136">
        <f>Facilities!J91</f>
        <v>5134117.0954227988</v>
      </c>
      <c r="F83" s="136">
        <f>'District Services'!K90</f>
        <v>1270923.1127461456</v>
      </c>
      <c r="G83" s="432">
        <f t="shared" si="42"/>
        <v>28521121.786085334</v>
      </c>
      <c r="H83" s="136">
        <f t="shared" si="43"/>
        <v>3968286.2973745773</v>
      </c>
      <c r="I83" s="136">
        <f t="shared" si="44"/>
        <v>18147795.280541815</v>
      </c>
      <c r="J83" s="79">
        <f t="shared" si="45"/>
        <v>0.8205701003862711</v>
      </c>
      <c r="K83" s="136">
        <f t="shared" si="46"/>
        <v>931318.04260450904</v>
      </c>
      <c r="L83" s="136">
        <f t="shared" si="47"/>
        <v>4202799.05281829</v>
      </c>
      <c r="M83" s="79">
        <f t="shared" si="31"/>
        <v>0.81860210328377525</v>
      </c>
      <c r="N83" s="136">
        <f t="shared" si="48"/>
        <v>1270923.1127461456</v>
      </c>
      <c r="O83" s="136">
        <f t="shared" si="32"/>
        <v>0</v>
      </c>
      <c r="P83" s="79">
        <f t="shared" si="33"/>
        <v>0</v>
      </c>
      <c r="Q83" s="136">
        <f t="shared" si="34"/>
        <v>6170527.4527252316</v>
      </c>
      <c r="R83" s="136">
        <f t="shared" si="35"/>
        <v>22350594.333360106</v>
      </c>
      <c r="S83" s="79">
        <f t="shared" si="36"/>
        <v>0.7836506046639562</v>
      </c>
      <c r="T83" s="565">
        <f>Q83/ITA!B81*1000</f>
        <v>81.35251876686651</v>
      </c>
      <c r="U83" s="565"/>
      <c r="V83" s="464">
        <f>'FY 19 State Pmt'!BL82</f>
        <v>16529167.569999995</v>
      </c>
      <c r="W83" s="465">
        <f>'Prop Tax'!K81</f>
        <v>5071592.2534352848</v>
      </c>
      <c r="X83" s="535">
        <f t="shared" si="49"/>
        <v>21600759.82343528</v>
      </c>
      <c r="Y83" s="565"/>
      <c r="Z83" s="559">
        <f t="shared" si="37"/>
        <v>749834.50992482528</v>
      </c>
      <c r="AA83" s="565"/>
      <c r="AB83" s="393">
        <f t="shared" si="38"/>
        <v>0</v>
      </c>
      <c r="AC83" s="582">
        <f t="shared" si="39"/>
        <v>22350594.333360106</v>
      </c>
      <c r="AD83" s="393">
        <f t="shared" si="50"/>
        <v>749834.50992482528</v>
      </c>
      <c r="AE83" s="79">
        <f t="shared" si="40"/>
        <v>0.7836506046639562</v>
      </c>
      <c r="AF83" s="559">
        <f t="shared" si="41"/>
        <v>6170527.4527252279</v>
      </c>
      <c r="AG83" s="565">
        <f>AF83/ITA!B81*1000</f>
        <v>81.352518766866467</v>
      </c>
    </row>
    <row r="84" spans="1:33" x14ac:dyDescent="0.25">
      <c r="A84" s="125" t="s">
        <v>81</v>
      </c>
      <c r="B84" s="126">
        <v>4956.4399999999996</v>
      </c>
      <c r="C84" s="127">
        <v>3.8049999999999998E-3</v>
      </c>
      <c r="D84" s="128">
        <f>'Total Inst. Cost'!G82</f>
        <v>30816540.640512552</v>
      </c>
      <c r="E84" s="128">
        <f>Facilities!J92</f>
        <v>7173516.0136201829</v>
      </c>
      <c r="F84" s="128">
        <f>'District Services'!K91</f>
        <v>1331076.6062947845</v>
      </c>
      <c r="G84" s="433">
        <f t="shared" si="42"/>
        <v>39321133.26042752</v>
      </c>
      <c r="H84" s="128">
        <f t="shared" si="43"/>
        <v>3259082.5300043742</v>
      </c>
      <c r="I84" s="128">
        <f t="shared" si="44"/>
        <v>27557458.110508177</v>
      </c>
      <c r="J84" s="132">
        <f t="shared" si="45"/>
        <v>0.89424242753192529</v>
      </c>
      <c r="K84" s="128">
        <f t="shared" si="46"/>
        <v>764874.84396938409</v>
      </c>
      <c r="L84" s="128">
        <f t="shared" si="47"/>
        <v>6408641.1696507987</v>
      </c>
      <c r="M84" s="132">
        <f t="shared" si="31"/>
        <v>0.89337518135916405</v>
      </c>
      <c r="N84" s="128">
        <f t="shared" si="48"/>
        <v>1331076.6062947845</v>
      </c>
      <c r="O84" s="128">
        <f t="shared" si="32"/>
        <v>0</v>
      </c>
      <c r="P84" s="132">
        <f t="shared" si="33"/>
        <v>0</v>
      </c>
      <c r="Q84" s="128">
        <f t="shared" si="34"/>
        <v>5355033.9802685427</v>
      </c>
      <c r="R84" s="128">
        <f t="shared" si="35"/>
        <v>33966099.280158974</v>
      </c>
      <c r="S84" s="132">
        <f t="shared" si="36"/>
        <v>0.86381282693960881</v>
      </c>
      <c r="T84" s="564">
        <f>Q84/ITA!B82*1000</f>
        <v>85.966735888610401</v>
      </c>
      <c r="U84" s="564"/>
      <c r="V84" s="462">
        <f>'FY 19 State Pmt'!BL83</f>
        <v>25486416.130000003</v>
      </c>
      <c r="W84" s="463">
        <f>'Prop Tax'!K82</f>
        <v>7384810.4567388752</v>
      </c>
      <c r="X84" s="533">
        <f t="shared" si="49"/>
        <v>32871226.586738877</v>
      </c>
      <c r="Y84" s="564"/>
      <c r="Z84" s="560">
        <f t="shared" si="37"/>
        <v>1094872.6934200972</v>
      </c>
      <c r="AA84" s="564"/>
      <c r="AB84" s="392">
        <f t="shared" si="38"/>
        <v>0</v>
      </c>
      <c r="AC84" s="581">
        <f t="shared" si="39"/>
        <v>33966099.280158974</v>
      </c>
      <c r="AD84" s="392">
        <f t="shared" si="50"/>
        <v>1094872.6934200972</v>
      </c>
      <c r="AE84" s="132">
        <f t="shared" si="40"/>
        <v>0.86381282693960881</v>
      </c>
      <c r="AF84" s="560">
        <f t="shared" si="41"/>
        <v>5355033.9802685454</v>
      </c>
      <c r="AG84" s="564">
        <f>AF84/ITA!B82*1000</f>
        <v>85.966735888610444</v>
      </c>
    </row>
    <row r="85" spans="1:33" x14ac:dyDescent="0.25">
      <c r="A85" s="123" t="s">
        <v>82</v>
      </c>
      <c r="B85" s="47">
        <v>7694.47</v>
      </c>
      <c r="C85" s="73">
        <v>1.4482E-2</v>
      </c>
      <c r="D85" s="58">
        <f>'Total Inst. Cost'!G83</f>
        <v>41519939.675881289</v>
      </c>
      <c r="E85" s="58">
        <f>Facilities!J93</f>
        <v>9993086.3751662951</v>
      </c>
      <c r="F85" s="58">
        <f>'District Services'!K92</f>
        <v>1705005.1236990951</v>
      </c>
      <c r="G85" s="434">
        <f t="shared" si="42"/>
        <v>53218031.174746677</v>
      </c>
      <c r="H85" s="58">
        <f t="shared" si="43"/>
        <v>12404213.718665795</v>
      </c>
      <c r="I85" s="58">
        <f t="shared" si="44"/>
        <v>29115725.957215495</v>
      </c>
      <c r="J85" s="79">
        <f t="shared" si="45"/>
        <v>0.70124682705472874</v>
      </c>
      <c r="K85" s="58">
        <f t="shared" si="46"/>
        <v>2911147.8292679689</v>
      </c>
      <c r="L85" s="58">
        <f t="shared" si="47"/>
        <v>7081938.5458983257</v>
      </c>
      <c r="M85" s="79">
        <f t="shared" si="31"/>
        <v>0.70868381199001451</v>
      </c>
      <c r="N85" s="58">
        <f t="shared" si="48"/>
        <v>1705005.1236990951</v>
      </c>
      <c r="O85" s="58">
        <f t="shared" si="32"/>
        <v>0</v>
      </c>
      <c r="P85" s="79">
        <f t="shared" si="33"/>
        <v>0</v>
      </c>
      <c r="Q85" s="58">
        <f t="shared" si="34"/>
        <v>17020366.67163286</v>
      </c>
      <c r="R85" s="58">
        <f t="shared" si="35"/>
        <v>36197664.503113821</v>
      </c>
      <c r="S85" s="79">
        <f t="shared" si="36"/>
        <v>0.6801766939527546</v>
      </c>
      <c r="T85" s="565">
        <f>Q85/ITA!B83*1000</f>
        <v>71.781850662295227</v>
      </c>
      <c r="U85" s="565"/>
      <c r="V85" s="464">
        <f>'FY 19 State Pmt'!BL84</f>
        <v>26648832.299999993</v>
      </c>
      <c r="W85" s="465">
        <f>'Prop Tax'!K83</f>
        <v>12999621.307783056</v>
      </c>
      <c r="X85" s="535">
        <f t="shared" si="49"/>
        <v>39648453.607783049</v>
      </c>
      <c r="Y85" s="565"/>
      <c r="Z85" s="559">
        <f t="shared" si="37"/>
        <v>-3450789.1046692282</v>
      </c>
      <c r="AA85" s="565"/>
      <c r="AB85" s="393">
        <f t="shared" si="38"/>
        <v>3450789.1046692282</v>
      </c>
      <c r="AC85" s="582">
        <f t="shared" si="39"/>
        <v>39648453.607783049</v>
      </c>
      <c r="AD85" s="393">
        <f t="shared" si="50"/>
        <v>0</v>
      </c>
      <c r="AE85" s="79">
        <f t="shared" si="40"/>
        <v>0.74501917362544712</v>
      </c>
      <c r="AF85" s="559">
        <f t="shared" si="41"/>
        <v>13569577.566963628</v>
      </c>
      <c r="AG85" s="565">
        <f>AF85/ITA!B83*1000</f>
        <v>57.228461011102802</v>
      </c>
    </row>
    <row r="86" spans="1:33" x14ac:dyDescent="0.25">
      <c r="A86" s="125" t="s">
        <v>83</v>
      </c>
      <c r="B86" s="126">
        <v>17132.009999999998</v>
      </c>
      <c r="C86" s="127">
        <v>1.9137999999999999E-2</v>
      </c>
      <c r="D86" s="128">
        <f>'Total Inst. Cost'!G84</f>
        <v>102172395.46003979</v>
      </c>
      <c r="E86" s="128">
        <f>Facilities!J94</f>
        <v>24032919.04081247</v>
      </c>
      <c r="F86" s="128">
        <f>'District Services'!K93</f>
        <v>3948496.2011807049</v>
      </c>
      <c r="G86" s="433">
        <f t="shared" si="42"/>
        <v>130153810.70203297</v>
      </c>
      <c r="H86" s="128">
        <f t="shared" si="43"/>
        <v>16392200.120689545</v>
      </c>
      <c r="I86" s="128">
        <f t="shared" si="44"/>
        <v>85780195.339350253</v>
      </c>
      <c r="J86" s="132">
        <f t="shared" si="45"/>
        <v>0.83956331798934258</v>
      </c>
      <c r="K86" s="128">
        <f t="shared" si="46"/>
        <v>3847089.2940567867</v>
      </c>
      <c r="L86" s="128">
        <f t="shared" si="47"/>
        <v>20185829.746755682</v>
      </c>
      <c r="M86" s="132">
        <f t="shared" si="31"/>
        <v>0.83992417702054012</v>
      </c>
      <c r="N86" s="128">
        <f t="shared" si="48"/>
        <v>3948496.2011807049</v>
      </c>
      <c r="O86" s="128">
        <f t="shared" si="32"/>
        <v>0</v>
      </c>
      <c r="P86" s="132">
        <f t="shared" si="33"/>
        <v>0</v>
      </c>
      <c r="Q86" s="128">
        <f t="shared" si="34"/>
        <v>24187785.615927037</v>
      </c>
      <c r="R86" s="128">
        <f t="shared" si="35"/>
        <v>105966025.08610594</v>
      </c>
      <c r="S86" s="132">
        <f t="shared" si="36"/>
        <v>0.8141599889741129</v>
      </c>
      <c r="T86" s="564">
        <f>Q86/ITA!B84*1000</f>
        <v>77.193263844207166</v>
      </c>
      <c r="U86" s="564"/>
      <c r="V86" s="462">
        <f>'FY 19 State Pmt'!BL85</f>
        <v>75177606.350000009</v>
      </c>
      <c r="W86" s="463">
        <f>'Prop Tax'!K84</f>
        <v>30717666.351034239</v>
      </c>
      <c r="X86" s="533">
        <f t="shared" si="49"/>
        <v>105895272.70103425</v>
      </c>
      <c r="Y86" s="564"/>
      <c r="Z86" s="560">
        <f t="shared" si="37"/>
        <v>70752.385071694851</v>
      </c>
      <c r="AA86" s="564"/>
      <c r="AB86" s="392">
        <f t="shared" si="38"/>
        <v>0</v>
      </c>
      <c r="AC86" s="581">
        <f t="shared" si="39"/>
        <v>105966025.08610594</v>
      </c>
      <c r="AD86" s="392">
        <f t="shared" si="50"/>
        <v>70752.385071694851</v>
      </c>
      <c r="AE86" s="132">
        <f t="shared" si="40"/>
        <v>0.8141599889741129</v>
      </c>
      <c r="AF86" s="560">
        <f t="shared" si="41"/>
        <v>24187785.615927026</v>
      </c>
      <c r="AG86" s="564">
        <f>AF86/ITA!B84*1000</f>
        <v>77.193263844207124</v>
      </c>
    </row>
    <row r="87" spans="1:33" ht="15.75" thickBot="1" x14ac:dyDescent="0.3">
      <c r="A87" s="140" t="s">
        <v>84</v>
      </c>
      <c r="B87" s="141">
        <v>15937.31</v>
      </c>
      <c r="C87" s="142">
        <v>1.1891000000000001E-2</v>
      </c>
      <c r="D87" s="143">
        <f>'Total Inst. Cost'!G85</f>
        <v>83932324.89221172</v>
      </c>
      <c r="E87" s="143">
        <f>Facilities!J95</f>
        <v>20139410.21195583</v>
      </c>
      <c r="F87" s="143">
        <f>'District Services'!K94</f>
        <v>3803344.2600772432</v>
      </c>
      <c r="G87" s="435">
        <f t="shared" si="42"/>
        <v>107875079.36424479</v>
      </c>
      <c r="H87" s="143">
        <f t="shared" si="43"/>
        <v>10184954.103622081</v>
      </c>
      <c r="I87" s="143">
        <f t="shared" si="44"/>
        <v>73747370.788589641</v>
      </c>
      <c r="J87" s="147">
        <f t="shared" si="45"/>
        <v>0.87865278226592813</v>
      </c>
      <c r="K87" s="143">
        <f t="shared" si="46"/>
        <v>2390309.2692877655</v>
      </c>
      <c r="L87" s="143">
        <f t="shared" si="47"/>
        <v>17749100.942668065</v>
      </c>
      <c r="M87" s="147">
        <f t="shared" si="31"/>
        <v>0.88131185351849328</v>
      </c>
      <c r="N87" s="143">
        <f t="shared" si="48"/>
        <v>3803344.2600772432</v>
      </c>
      <c r="O87" s="143">
        <f t="shared" si="32"/>
        <v>0</v>
      </c>
      <c r="P87" s="147">
        <f t="shared" si="33"/>
        <v>0</v>
      </c>
      <c r="Q87" s="143">
        <f t="shared" si="34"/>
        <v>16378607.632987089</v>
      </c>
      <c r="R87" s="143">
        <f t="shared" si="35"/>
        <v>91496471.731257707</v>
      </c>
      <c r="S87" s="147">
        <f t="shared" si="36"/>
        <v>0.84817060873082639</v>
      </c>
      <c r="T87" s="566">
        <f>Q87/ITA!B85*1000</f>
        <v>84.129319569848391</v>
      </c>
      <c r="U87" s="566"/>
      <c r="V87" s="466">
        <f>'FY 19 State Pmt'!BL86</f>
        <v>67329412.590000033</v>
      </c>
      <c r="W87" s="467">
        <f>'Prop Tax'!K85</f>
        <v>20226580.938614521</v>
      </c>
      <c r="X87" s="536">
        <f t="shared" si="49"/>
        <v>87555993.528614551</v>
      </c>
      <c r="Y87" s="566"/>
      <c r="Z87" s="561">
        <f t="shared" si="37"/>
        <v>3940478.2026431561</v>
      </c>
      <c r="AA87" s="566"/>
      <c r="AB87" s="394">
        <f t="shared" si="38"/>
        <v>0</v>
      </c>
      <c r="AC87" s="583">
        <f t="shared" si="39"/>
        <v>91496471.731257707</v>
      </c>
      <c r="AD87" s="394">
        <f t="shared" si="50"/>
        <v>3940478.2026431561</v>
      </c>
      <c r="AE87" s="147">
        <f t="shared" si="40"/>
        <v>0.84817060873082639</v>
      </c>
      <c r="AF87" s="561">
        <f t="shared" si="41"/>
        <v>16378607.632987082</v>
      </c>
      <c r="AG87" s="566">
        <f>AF87/ITA!B85*1000</f>
        <v>84.129319569848349</v>
      </c>
    </row>
    <row r="88" spans="1:33" s="3" customFormat="1" ht="15.75" thickBot="1" x14ac:dyDescent="0.3">
      <c r="A88" s="687" t="s">
        <v>312</v>
      </c>
      <c r="B88" s="150">
        <v>721122.25</v>
      </c>
      <c r="C88" s="151">
        <f>SUM(C7:C87)</f>
        <v>0.99999599999999977</v>
      </c>
      <c r="D88" s="152">
        <f>'Total Inst. Cost'!G86</f>
        <v>4285662739.4764681</v>
      </c>
      <c r="E88" s="152">
        <f>Facilities!J96</f>
        <v>1005803194.2990003</v>
      </c>
      <c r="F88" s="152">
        <f>'District Services'!K95</f>
        <v>170258064.45440018</v>
      </c>
      <c r="G88" s="436">
        <f>SUM(D88:F88)</f>
        <v>5461723998.2298689</v>
      </c>
      <c r="H88" s="152">
        <f>SUM(H6:H87)</f>
        <v>856522863.18915021</v>
      </c>
      <c r="I88" s="152">
        <f>SUM(I6:I87)</f>
        <v>3429139877.2873187</v>
      </c>
      <c r="J88" s="158">
        <f t="shared" si="45"/>
        <v>0.80014226170914671</v>
      </c>
      <c r="K88" s="152">
        <f>SUM(K6:K87)</f>
        <v>201017551.965958</v>
      </c>
      <c r="L88" s="152">
        <f>SUM(L6:L87)</f>
        <v>804785643.33304262</v>
      </c>
      <c r="M88" s="158">
        <f t="shared" si="31"/>
        <v>0.80014226231796981</v>
      </c>
      <c r="N88" s="152">
        <f>SUM(N6:N87)</f>
        <v>170258065.45440018</v>
      </c>
      <c r="O88" s="152">
        <f>SUM(O6:O87)</f>
        <v>0</v>
      </c>
      <c r="P88" s="158">
        <f t="shared" si="33"/>
        <v>0</v>
      </c>
      <c r="Q88" s="152">
        <f>SUM(Q7:Q87)</f>
        <v>1227798479.2097907</v>
      </c>
      <c r="R88" s="152">
        <f>SUM(R7:R87)</f>
        <v>4233925519.0200768</v>
      </c>
      <c r="S88" s="158">
        <f t="shared" si="36"/>
        <v>0.77519946456325539</v>
      </c>
      <c r="T88" s="567">
        <f>Q88/ITA!B86*1000</f>
        <v>74.990560808588697</v>
      </c>
      <c r="U88" s="567"/>
      <c r="V88" s="388">
        <f>'FY 19 State Pmt'!BL87</f>
        <v>3024977581.3500009</v>
      </c>
      <c r="W88" s="390">
        <f>SUM(W7:W87)</f>
        <v>1208947937.6700773</v>
      </c>
      <c r="X88" s="557">
        <f>SUM(X7:X87)</f>
        <v>4233925519.0200758</v>
      </c>
      <c r="Y88" s="567"/>
      <c r="Z88" s="562">
        <f>SUM(Z7:Z87)</f>
        <v>3.3527612686157227E-7</v>
      </c>
      <c r="AA88" s="567"/>
      <c r="AB88" s="636">
        <f>SUM(AB7:AB87)</f>
        <v>154311551.59711015</v>
      </c>
      <c r="AC88" s="527">
        <f>SUM(AC7:AC87)</f>
        <v>4388237070.6171865</v>
      </c>
      <c r="AD88" s="513">
        <f>SUM(AD7:AD87)</f>
        <v>154311551.59711045</v>
      </c>
      <c r="AE88" s="158">
        <f t="shared" si="40"/>
        <v>0.8034527325143862</v>
      </c>
      <c r="AF88" s="562">
        <f>SUM(AF7:AF87)</f>
        <v>1073486927.6126812</v>
      </c>
      <c r="AG88" s="567">
        <f>AF88/ITA!B86*1000</f>
        <v>65.565634821582762</v>
      </c>
    </row>
    <row r="89" spans="1:33" x14ac:dyDescent="0.25">
      <c r="A89" s="284" t="s">
        <v>600</v>
      </c>
      <c r="B89" s="284"/>
      <c r="C89" s="284"/>
      <c r="D89" s="284">
        <f>D88/$B$88</f>
        <v>5943.046050064976</v>
      </c>
      <c r="E89" s="284">
        <f t="shared" ref="E89:I89" si="51">E88/$B$88</f>
        <v>1394.7748724976941</v>
      </c>
      <c r="F89" s="284">
        <f t="shared" si="51"/>
        <v>236.10152710500915</v>
      </c>
      <c r="G89" s="284">
        <f t="shared" si="51"/>
        <v>7573.9224496676798</v>
      </c>
      <c r="H89" s="284">
        <f t="shared" si="51"/>
        <v>1187.7637435111039</v>
      </c>
      <c r="I89" s="284">
        <f t="shared" si="51"/>
        <v>4755.2823079406007</v>
      </c>
      <c r="J89" s="284"/>
      <c r="K89" s="284">
        <f>K88/$B$88</f>
        <v>278.75655197985918</v>
      </c>
      <c r="L89" s="284">
        <f>L88/$B$88</f>
        <v>1116.0183219045628</v>
      </c>
      <c r="M89" s="284"/>
      <c r="N89" s="284">
        <f>N88/$B$88</f>
        <v>236.10152849173656</v>
      </c>
      <c r="O89" s="445"/>
      <c r="P89" s="284"/>
      <c r="Q89" s="395">
        <f>Q88/$B$88</f>
        <v>1702.6218220416729</v>
      </c>
      <c r="R89" s="395">
        <f>R88/$B$88</f>
        <v>5871.3006276260048</v>
      </c>
      <c r="S89" s="395"/>
      <c r="T89" s="395"/>
      <c r="U89" s="395"/>
      <c r="V89" s="284">
        <f>V88/$B$88</f>
        <v>4194.8193684912658</v>
      </c>
      <c r="W89" s="284">
        <f t="shared" ref="W89:AF89" si="52">W88/$B$88</f>
        <v>1676.4812591347409</v>
      </c>
      <c r="X89" s="284">
        <f t="shared" si="52"/>
        <v>5871.3006276260039</v>
      </c>
      <c r="Y89" s="395"/>
      <c r="Z89" s="284">
        <f t="shared" si="52"/>
        <v>4.6493659967026714E-13</v>
      </c>
      <c r="AA89" s="395"/>
      <c r="AB89" s="284">
        <f t="shared" si="52"/>
        <v>213.98806041154623</v>
      </c>
      <c r="AC89" s="284">
        <f t="shared" ref="AC89" si="53">AC88/$B$88</f>
        <v>6085.2886880375509</v>
      </c>
      <c r="AD89" s="284">
        <f t="shared" si="52"/>
        <v>213.98806041154666</v>
      </c>
      <c r="AF89" s="284">
        <f t="shared" si="52"/>
        <v>1488.6337616301273</v>
      </c>
    </row>
    <row r="90" spans="1:33" x14ac:dyDescent="0.25">
      <c r="S90" s="400" t="s">
        <v>702</v>
      </c>
      <c r="T90" s="206">
        <f>MIN(T7:T87)</f>
        <v>66.769015376307067</v>
      </c>
      <c r="U90" s="206"/>
      <c r="X90" t="s">
        <v>585</v>
      </c>
      <c r="Y90" s="206"/>
      <c r="Z90" s="105">
        <f>SUMIF(Z7:Z87,"&gt;0")</f>
        <v>154311551.59711045</v>
      </c>
      <c r="AA90" s="206">
        <f>COUNTIF(Z7:Z87,"&gt;0")</f>
        <v>48</v>
      </c>
      <c r="AC90" s="452" t="s">
        <v>704</v>
      </c>
      <c r="AD90" s="451">
        <f>SUMIF(AD7:AD87,"&gt;0")</f>
        <v>154311551.59711045</v>
      </c>
      <c r="AE90" s="371">
        <f>COUNTIF(AD7:AD87,"&gt;0")</f>
        <v>48</v>
      </c>
      <c r="AF90" s="400" t="s">
        <v>702</v>
      </c>
      <c r="AG90" s="206">
        <f>MIN(AG7:AG87)</f>
        <v>0.17027552032698887</v>
      </c>
    </row>
    <row r="91" spans="1:33" x14ac:dyDescent="0.25">
      <c r="S91" s="400" t="s">
        <v>703</v>
      </c>
      <c r="T91" s="206">
        <f>MAX(T7:T87)</f>
        <v>254.97126815371141</v>
      </c>
      <c r="U91" s="206"/>
      <c r="X91" t="s">
        <v>586</v>
      </c>
      <c r="Y91" s="206"/>
      <c r="Z91" s="105">
        <f>SUMIF(Z7:Z87,"&lt;0")</f>
        <v>-154311551.59711015</v>
      </c>
      <c r="AA91" s="206">
        <f>COUNTIF(Z7:Z87,"&lt;0")</f>
        <v>33</v>
      </c>
      <c r="AD91" s="453"/>
      <c r="AE91" s="371">
        <f>COUNTIF(AD7:AD87,"&lt;0")</f>
        <v>0</v>
      </c>
      <c r="AF91" s="400" t="s">
        <v>703</v>
      </c>
      <c r="AG91" s="206">
        <f>MAX(AG7:AG87)</f>
        <v>254.97126815371135</v>
      </c>
    </row>
  </sheetData>
  <mergeCells count="8">
    <mergeCell ref="AF3:AG3"/>
    <mergeCell ref="V3:X3"/>
    <mergeCell ref="D3:G3"/>
    <mergeCell ref="H3:J3"/>
    <mergeCell ref="K3:M3"/>
    <mergeCell ref="N3:P3"/>
    <mergeCell ref="Q3:S3"/>
    <mergeCell ref="AB3:AC3"/>
  </mergeCells>
  <printOptions horizontalCentered="1"/>
  <pageMargins left="0.5" right="0.5" top="0.5" bottom="0.5" header="0.3" footer="0.3"/>
  <pageSetup paperSize="5" scale="71" fitToWidth="2" fitToHeight="2" orientation="landscape" r:id="rId1"/>
  <headerFooter>
    <oddHeader>&amp;R&amp;"-,Bold"&amp;12Option 4 Page &amp;P</oddHeader>
  </headerFooter>
  <colBreaks count="1" manualBreakCount="1">
    <brk id="20" max="89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7">
    <pageSetUpPr fitToPage="1"/>
  </sheetPr>
  <dimension ref="A1:G86"/>
  <sheetViews>
    <sheetView workbookViewId="0">
      <selection activeCell="B23" sqref="B23"/>
    </sheetView>
  </sheetViews>
  <sheetFormatPr defaultRowHeight="15" x14ac:dyDescent="0.25"/>
  <cols>
    <col min="1" max="1" width="17.28515625" bestFit="1" customWidth="1"/>
    <col min="2" max="2" width="15.28515625" bestFit="1" customWidth="1"/>
    <col min="3" max="3" width="16" style="624" bestFit="1" customWidth="1"/>
    <col min="4" max="4" width="15.85546875" bestFit="1" customWidth="1"/>
    <col min="6" max="6" width="16.85546875" style="2" bestFit="1" customWidth="1"/>
    <col min="7" max="7" width="15.28515625" style="74" bestFit="1" customWidth="1"/>
  </cols>
  <sheetData>
    <row r="1" spans="1:7" ht="23.25" x14ac:dyDescent="0.35">
      <c r="A1" s="4" t="s">
        <v>714</v>
      </c>
    </row>
    <row r="3" spans="1:7" ht="45" x14ac:dyDescent="0.25">
      <c r="A3" s="60" t="s">
        <v>0</v>
      </c>
      <c r="B3" s="61" t="s">
        <v>562</v>
      </c>
      <c r="C3" s="625" t="s">
        <v>169</v>
      </c>
      <c r="D3" s="61" t="s">
        <v>563</v>
      </c>
      <c r="F3" s="401" t="s">
        <v>651</v>
      </c>
      <c r="G3" s="626" t="s">
        <v>649</v>
      </c>
    </row>
    <row r="4" spans="1:7" s="3" customFormat="1" x14ac:dyDescent="0.25">
      <c r="A4" s="788" t="s">
        <v>715</v>
      </c>
      <c r="B4" s="789" t="s">
        <v>716</v>
      </c>
      <c r="C4" s="790" t="s">
        <v>717</v>
      </c>
      <c r="D4" s="789" t="s">
        <v>718</v>
      </c>
      <c r="F4" s="791" t="s">
        <v>719</v>
      </c>
      <c r="G4" s="792" t="s">
        <v>720</v>
      </c>
    </row>
    <row r="5" spans="1:7" x14ac:dyDescent="0.25">
      <c r="A5" t="s">
        <v>4</v>
      </c>
      <c r="B5" s="2">
        <v>39434916</v>
      </c>
      <c r="C5" s="624">
        <f>B5/$B$86</f>
        <v>2.4085764206051687E-3</v>
      </c>
      <c r="D5" s="74">
        <f>ROUND(C5,6)</f>
        <v>2.4090000000000001E-3</v>
      </c>
      <c r="F5" s="2">
        <v>60842865</v>
      </c>
      <c r="G5" s="74">
        <v>2.6629610373921173E-3</v>
      </c>
    </row>
    <row r="6" spans="1:7" x14ac:dyDescent="0.25">
      <c r="A6" t="s">
        <v>5</v>
      </c>
      <c r="B6" s="2">
        <v>458646820</v>
      </c>
      <c r="C6" s="624">
        <f t="shared" ref="C6:C69" si="0">B6/$B$86</f>
        <v>2.8012888782051496E-2</v>
      </c>
      <c r="D6" s="74">
        <f t="shared" ref="D6:D69" si="1">ROUND(C6,6)</f>
        <v>2.8013E-2</v>
      </c>
      <c r="F6" s="2">
        <v>673623919</v>
      </c>
      <c r="G6" s="74">
        <v>2.9483066751580217E-2</v>
      </c>
    </row>
    <row r="7" spans="1:7" x14ac:dyDescent="0.25">
      <c r="A7" t="s">
        <v>6</v>
      </c>
      <c r="B7" s="2">
        <v>20547839</v>
      </c>
      <c r="C7" s="624">
        <f t="shared" si="0"/>
        <v>1.2550056023903104E-3</v>
      </c>
      <c r="D7" s="74">
        <f t="shared" si="1"/>
        <v>1.255E-3</v>
      </c>
      <c r="F7" s="2">
        <v>26046498</v>
      </c>
      <c r="G7" s="74">
        <v>1.1399990670148705E-3</v>
      </c>
    </row>
    <row r="8" spans="1:7" x14ac:dyDescent="0.25">
      <c r="A8" t="s">
        <v>7</v>
      </c>
      <c r="B8" s="2">
        <v>123254771</v>
      </c>
      <c r="C8" s="624">
        <f t="shared" si="0"/>
        <v>7.5280630788636584E-3</v>
      </c>
      <c r="D8" s="74">
        <f t="shared" si="1"/>
        <v>7.528E-3</v>
      </c>
      <c r="F8" s="2">
        <v>184531870</v>
      </c>
      <c r="G8" s="74">
        <v>8.0765621403118895E-3</v>
      </c>
    </row>
    <row r="9" spans="1:7" x14ac:dyDescent="0.25">
      <c r="A9" t="s">
        <v>8</v>
      </c>
      <c r="B9" s="2">
        <v>39345488</v>
      </c>
      <c r="C9" s="624">
        <f t="shared" si="0"/>
        <v>2.403114403844644E-3</v>
      </c>
      <c r="D9" s="74">
        <f t="shared" si="1"/>
        <v>2.4030000000000002E-3</v>
      </c>
      <c r="F9" s="2">
        <v>59726648</v>
      </c>
      <c r="G9" s="74">
        <v>2.6141066256172166E-3</v>
      </c>
    </row>
    <row r="10" spans="1:7" x14ac:dyDescent="0.25">
      <c r="A10" t="s">
        <v>9</v>
      </c>
      <c r="B10" s="2">
        <v>31497087</v>
      </c>
      <c r="C10" s="624">
        <f t="shared" si="0"/>
        <v>1.9237556145916372E-3</v>
      </c>
      <c r="D10" s="74">
        <f t="shared" si="1"/>
        <v>1.9239999999999999E-3</v>
      </c>
      <c r="F10" s="2">
        <v>43860138</v>
      </c>
      <c r="G10" s="74">
        <v>1.9196636875768659E-3</v>
      </c>
    </row>
    <row r="11" spans="1:7" x14ac:dyDescent="0.25">
      <c r="A11" t="s">
        <v>10</v>
      </c>
      <c r="B11" s="2">
        <v>76499688</v>
      </c>
      <c r="C11" s="624">
        <f t="shared" si="0"/>
        <v>4.6723909517254244E-3</v>
      </c>
      <c r="D11" s="74">
        <f t="shared" si="1"/>
        <v>4.6719999999999999E-3</v>
      </c>
      <c r="F11" s="2">
        <v>103959341</v>
      </c>
      <c r="G11" s="74">
        <v>4.5500762423985276E-3</v>
      </c>
    </row>
    <row r="12" spans="1:7" x14ac:dyDescent="0.25">
      <c r="A12" t="s">
        <v>11</v>
      </c>
      <c r="B12" s="2">
        <v>231850505</v>
      </c>
      <c r="C12" s="624">
        <f t="shared" si="0"/>
        <v>1.4160792416760841E-2</v>
      </c>
      <c r="D12" s="74">
        <f t="shared" si="1"/>
        <v>1.4161E-2</v>
      </c>
      <c r="F12" s="2">
        <v>320861151</v>
      </c>
      <c r="G12" s="74">
        <v>1.4043400874133537E-2</v>
      </c>
    </row>
    <row r="13" spans="1:7" x14ac:dyDescent="0.25">
      <c r="A13" t="s">
        <v>12</v>
      </c>
      <c r="B13" s="2">
        <v>13083080</v>
      </c>
      <c r="C13" s="624">
        <f t="shared" si="0"/>
        <v>7.9907861340166339E-4</v>
      </c>
      <c r="D13" s="74">
        <f t="shared" si="1"/>
        <v>7.9900000000000001E-4</v>
      </c>
      <c r="F13" s="2">
        <v>18708632</v>
      </c>
      <c r="G13" s="74">
        <v>8.1883649099869578E-4</v>
      </c>
    </row>
    <row r="14" spans="1:7" x14ac:dyDescent="0.25">
      <c r="A14" t="s">
        <v>13</v>
      </c>
      <c r="B14" s="2">
        <v>10027810</v>
      </c>
      <c r="C14" s="624">
        <f t="shared" si="0"/>
        <v>6.1247110850467428E-4</v>
      </c>
      <c r="D14" s="74">
        <f t="shared" si="1"/>
        <v>6.1200000000000002E-4</v>
      </c>
      <c r="F14" s="2">
        <v>13853106</v>
      </c>
      <c r="G14" s="74">
        <v>6.0632058541067993E-4</v>
      </c>
    </row>
    <row r="15" spans="1:7" x14ac:dyDescent="0.25">
      <c r="A15" t="s">
        <v>14</v>
      </c>
      <c r="B15" s="2">
        <v>7797214</v>
      </c>
      <c r="C15" s="624">
        <f t="shared" si="0"/>
        <v>4.7623242780110166E-4</v>
      </c>
      <c r="D15" s="74">
        <f t="shared" si="1"/>
        <v>4.7600000000000002E-4</v>
      </c>
      <c r="F15" s="2">
        <v>11417652</v>
      </c>
      <c r="G15" s="74">
        <v>4.9972601412675394E-4</v>
      </c>
    </row>
    <row r="16" spans="1:7" x14ac:dyDescent="0.25">
      <c r="A16" t="s">
        <v>15</v>
      </c>
      <c r="B16" s="2">
        <v>11308944</v>
      </c>
      <c r="C16" s="624">
        <f t="shared" si="0"/>
        <v>6.907192565173537E-4</v>
      </c>
      <c r="D16" s="74">
        <f t="shared" si="1"/>
        <v>6.9099999999999999E-4</v>
      </c>
      <c r="F16" s="2">
        <v>15414259</v>
      </c>
      <c r="G16" s="74">
        <v>6.7464888672272066E-4</v>
      </c>
    </row>
    <row r="17" spans="1:7" x14ac:dyDescent="0.25">
      <c r="A17" t="s">
        <v>16</v>
      </c>
      <c r="B17" s="2">
        <v>22626261</v>
      </c>
      <c r="C17" s="624">
        <f t="shared" si="0"/>
        <v>1.3819499128908585E-3</v>
      </c>
      <c r="D17" s="74">
        <f t="shared" si="1"/>
        <v>1.382E-3</v>
      </c>
      <c r="F17" s="2">
        <v>33899132</v>
      </c>
      <c r="G17" s="74">
        <v>1.483691928665955E-3</v>
      </c>
    </row>
    <row r="18" spans="1:7" x14ac:dyDescent="0.25">
      <c r="A18" t="s">
        <v>17</v>
      </c>
      <c r="B18" s="2">
        <v>1262667951</v>
      </c>
      <c r="C18" s="624">
        <f t="shared" si="0"/>
        <v>7.7120292428984563E-2</v>
      </c>
      <c r="D18" s="74">
        <f t="shared" si="1"/>
        <v>7.7119999999999994E-2</v>
      </c>
      <c r="F18" s="2">
        <v>1740781641</v>
      </c>
      <c r="G18" s="74">
        <v>7.6190259689291634E-2</v>
      </c>
    </row>
    <row r="19" spans="1:7" x14ac:dyDescent="0.25">
      <c r="A19" t="s">
        <v>18</v>
      </c>
      <c r="B19" s="2">
        <v>653235272</v>
      </c>
      <c r="C19" s="624">
        <f t="shared" si="0"/>
        <v>3.989781728574758E-2</v>
      </c>
      <c r="D19" s="74">
        <f t="shared" si="1"/>
        <v>3.9898000000000003E-2</v>
      </c>
      <c r="F19" s="2">
        <v>881689106</v>
      </c>
      <c r="G19" s="74">
        <v>3.8589631444395145E-2</v>
      </c>
    </row>
    <row r="20" spans="1:7" x14ac:dyDescent="0.25">
      <c r="A20" t="s">
        <v>19</v>
      </c>
      <c r="B20" s="2">
        <v>66067563</v>
      </c>
      <c r="C20" s="624">
        <f t="shared" si="0"/>
        <v>4.0352253928636868E-3</v>
      </c>
      <c r="D20" s="74">
        <f t="shared" si="1"/>
        <v>4.0350000000000004E-3</v>
      </c>
      <c r="F20" s="2">
        <v>83290974</v>
      </c>
      <c r="G20" s="74">
        <v>3.6454663752017577E-3</v>
      </c>
    </row>
    <row r="21" spans="1:7" x14ac:dyDescent="0.25">
      <c r="A21" t="s">
        <v>20</v>
      </c>
      <c r="B21" s="2">
        <v>2329917542</v>
      </c>
      <c r="C21" s="624">
        <f t="shared" si="0"/>
        <v>0.14230496785172694</v>
      </c>
      <c r="D21" s="74">
        <f t="shared" si="1"/>
        <v>0.14230499999999999</v>
      </c>
      <c r="F21" s="2">
        <v>3105968972</v>
      </c>
      <c r="G21" s="74">
        <v>0.13594156612751304</v>
      </c>
    </row>
    <row r="22" spans="1:7" x14ac:dyDescent="0.25">
      <c r="A22" t="s">
        <v>21</v>
      </c>
      <c r="B22" s="2">
        <v>151448133</v>
      </c>
      <c r="C22" s="624">
        <f t="shared" si="0"/>
        <v>9.2500362391662126E-3</v>
      </c>
      <c r="D22" s="74">
        <f t="shared" si="1"/>
        <v>9.2499999999999995E-3</v>
      </c>
      <c r="F22" s="2">
        <v>211055049</v>
      </c>
      <c r="G22" s="74">
        <v>9.237424507078755E-3</v>
      </c>
    </row>
    <row r="23" spans="1:7" x14ac:dyDescent="0.25">
      <c r="A23" t="s">
        <v>22</v>
      </c>
      <c r="B23" s="2">
        <v>81971434</v>
      </c>
      <c r="C23" s="624">
        <f t="shared" si="0"/>
        <v>5.0065901774861855E-3</v>
      </c>
      <c r="D23" s="74">
        <f t="shared" si="1"/>
        <v>5.0070000000000002E-3</v>
      </c>
      <c r="F23" s="2">
        <v>112283648</v>
      </c>
      <c r="G23" s="74">
        <v>4.9144132144377378E-3</v>
      </c>
    </row>
    <row r="24" spans="1:7" x14ac:dyDescent="0.25">
      <c r="A24" t="s">
        <v>23</v>
      </c>
      <c r="B24" s="2">
        <v>95799500</v>
      </c>
      <c r="C24" s="624">
        <f t="shared" si="0"/>
        <v>5.8511704907844827E-3</v>
      </c>
      <c r="D24" s="74">
        <f t="shared" si="1"/>
        <v>5.8510000000000003E-3</v>
      </c>
      <c r="F24" s="2">
        <v>132106725</v>
      </c>
      <c r="G24" s="74">
        <v>5.7820265605913719E-3</v>
      </c>
    </row>
    <row r="25" spans="1:7" x14ac:dyDescent="0.25">
      <c r="A25" t="s">
        <v>24</v>
      </c>
      <c r="B25" s="2">
        <v>23580413</v>
      </c>
      <c r="C25" s="624">
        <f t="shared" si="0"/>
        <v>1.4402268979077219E-3</v>
      </c>
      <c r="D25" s="74">
        <f t="shared" si="1"/>
        <v>1.4400000000000001E-3</v>
      </c>
      <c r="F25" s="2">
        <v>31147199</v>
      </c>
      <c r="G25" s="74">
        <v>1.3632457538102244E-3</v>
      </c>
    </row>
    <row r="26" spans="1:7" x14ac:dyDescent="0.25">
      <c r="A26" t="s">
        <v>25</v>
      </c>
      <c r="B26" s="2">
        <v>37043030</v>
      </c>
      <c r="C26" s="624">
        <f t="shared" si="0"/>
        <v>2.2624865894419525E-3</v>
      </c>
      <c r="D26" s="74">
        <f t="shared" si="1"/>
        <v>2.2620000000000001E-3</v>
      </c>
      <c r="F26" s="2">
        <v>54518608</v>
      </c>
      <c r="G26" s="74">
        <v>2.3861619421908253E-3</v>
      </c>
    </row>
    <row r="27" spans="1:7" x14ac:dyDescent="0.25">
      <c r="A27" t="s">
        <v>26</v>
      </c>
      <c r="B27" s="2">
        <v>6119944</v>
      </c>
      <c r="C27" s="624">
        <f t="shared" si="0"/>
        <v>3.7378938030003861E-4</v>
      </c>
      <c r="D27" s="74">
        <f t="shared" si="1"/>
        <v>3.7399999999999998E-4</v>
      </c>
      <c r="F27" s="2">
        <v>9418345</v>
      </c>
      <c r="G27" s="74">
        <v>4.1222065679709304E-4</v>
      </c>
    </row>
    <row r="28" spans="1:7" x14ac:dyDescent="0.25">
      <c r="A28" t="s">
        <v>27</v>
      </c>
      <c r="B28" s="2">
        <v>138258723</v>
      </c>
      <c r="C28" s="624">
        <f t="shared" si="0"/>
        <v>8.4444632812399421E-3</v>
      </c>
      <c r="D28" s="74">
        <f t="shared" si="1"/>
        <v>8.4440000000000001E-3</v>
      </c>
      <c r="F28" s="2">
        <v>185405132</v>
      </c>
      <c r="G28" s="74">
        <v>8.1147829354936279E-3</v>
      </c>
    </row>
    <row r="29" spans="1:7" x14ac:dyDescent="0.25">
      <c r="A29" t="s">
        <v>28</v>
      </c>
      <c r="B29" s="2">
        <v>190831511</v>
      </c>
      <c r="C29" s="624">
        <f t="shared" si="0"/>
        <v>1.165546486020297E-2</v>
      </c>
      <c r="D29" s="74">
        <f t="shared" si="1"/>
        <v>1.1655E-2</v>
      </c>
      <c r="F29" s="2">
        <v>256369650</v>
      </c>
      <c r="G29" s="74">
        <v>1.1220746904667525E-2</v>
      </c>
    </row>
    <row r="30" spans="1:7" x14ac:dyDescent="0.25">
      <c r="A30" t="s">
        <v>29</v>
      </c>
      <c r="B30" s="2">
        <v>13798759</v>
      </c>
      <c r="C30" s="624">
        <f t="shared" si="0"/>
        <v>8.427903221858861E-4</v>
      </c>
      <c r="D30" s="74">
        <f t="shared" si="1"/>
        <v>8.43E-4</v>
      </c>
      <c r="F30" s="2">
        <v>19741032</v>
      </c>
      <c r="G30" s="74">
        <v>8.6402241337436999E-4</v>
      </c>
    </row>
    <row r="31" spans="1:7" x14ac:dyDescent="0.25">
      <c r="A31" t="s">
        <v>30</v>
      </c>
      <c r="B31" s="2">
        <v>41429479</v>
      </c>
      <c r="C31" s="624">
        <f t="shared" si="0"/>
        <v>2.530398853578311E-3</v>
      </c>
      <c r="D31" s="74">
        <f t="shared" si="1"/>
        <v>2.5300000000000001E-3</v>
      </c>
      <c r="F31" s="2">
        <v>59753352</v>
      </c>
      <c r="G31" s="74">
        <v>2.6152754021293435E-3</v>
      </c>
    </row>
    <row r="32" spans="1:7" x14ac:dyDescent="0.25">
      <c r="A32" t="s">
        <v>31</v>
      </c>
      <c r="B32" s="2">
        <v>272072986</v>
      </c>
      <c r="C32" s="624">
        <f t="shared" si="0"/>
        <v>1.6617471145703472E-2</v>
      </c>
      <c r="D32" s="74">
        <f t="shared" si="1"/>
        <v>1.6617E-2</v>
      </c>
      <c r="F32" s="2">
        <v>460713050</v>
      </c>
      <c r="G32" s="74">
        <v>2.0164417003835807E-2</v>
      </c>
    </row>
    <row r="33" spans="1:7" x14ac:dyDescent="0.25">
      <c r="A33" t="s">
        <v>32</v>
      </c>
      <c r="B33" s="2">
        <v>50656836</v>
      </c>
      <c r="C33" s="624">
        <f t="shared" si="0"/>
        <v>3.0939804900830281E-3</v>
      </c>
      <c r="D33" s="74">
        <f t="shared" si="1"/>
        <v>3.094E-3</v>
      </c>
      <c r="F33" s="2">
        <v>67481099</v>
      </c>
      <c r="G33" s="74">
        <v>2.9535022290189685E-3</v>
      </c>
    </row>
    <row r="34" spans="1:7" x14ac:dyDescent="0.25">
      <c r="A34" t="s">
        <v>33</v>
      </c>
      <c r="B34" s="2">
        <v>50058850</v>
      </c>
      <c r="C34" s="624">
        <f t="shared" si="0"/>
        <v>3.0574571466720265E-3</v>
      </c>
      <c r="D34" s="74">
        <f t="shared" si="1"/>
        <v>3.0569999999999998E-3</v>
      </c>
      <c r="F34" s="2">
        <v>75941831</v>
      </c>
      <c r="G34" s="74">
        <v>3.323810229206282E-3</v>
      </c>
    </row>
    <row r="35" spans="1:7" x14ac:dyDescent="0.25">
      <c r="A35" t="s">
        <v>34</v>
      </c>
      <c r="B35" s="2">
        <v>122723573</v>
      </c>
      <c r="C35" s="624">
        <f t="shared" si="0"/>
        <v>7.4956189631598833E-3</v>
      </c>
      <c r="D35" s="74">
        <f t="shared" si="1"/>
        <v>7.4960000000000001E-3</v>
      </c>
      <c r="F35" s="2">
        <v>146655439</v>
      </c>
      <c r="G35" s="74">
        <v>6.4187924085862226E-3</v>
      </c>
    </row>
    <row r="36" spans="1:7" x14ac:dyDescent="0.25">
      <c r="A36" t="s">
        <v>35</v>
      </c>
      <c r="B36" s="2">
        <v>288247317</v>
      </c>
      <c r="C36" s="624">
        <f t="shared" si="0"/>
        <v>1.7605354884714434E-2</v>
      </c>
      <c r="D36" s="74">
        <f t="shared" si="1"/>
        <v>1.7604999999999999E-2</v>
      </c>
      <c r="F36" s="2">
        <v>395869615</v>
      </c>
      <c r="G36" s="74">
        <v>1.7326359641881069E-2</v>
      </c>
    </row>
    <row r="37" spans="1:7" x14ac:dyDescent="0.25">
      <c r="A37" t="s">
        <v>36</v>
      </c>
      <c r="B37" s="2">
        <v>10088318</v>
      </c>
      <c r="C37" s="624">
        <f t="shared" si="0"/>
        <v>6.1616677105047447E-4</v>
      </c>
      <c r="D37" s="74">
        <f t="shared" si="1"/>
        <v>6.1600000000000001E-4</v>
      </c>
      <c r="F37" s="2">
        <v>15295773</v>
      </c>
      <c r="G37" s="74">
        <v>6.6946300993213153E-4</v>
      </c>
    </row>
    <row r="38" spans="1:7" x14ac:dyDescent="0.25">
      <c r="A38" t="s">
        <v>37</v>
      </c>
      <c r="B38" s="2">
        <v>41733726</v>
      </c>
      <c r="C38" s="624">
        <f t="shared" si="0"/>
        <v>2.5489814251816044E-3</v>
      </c>
      <c r="D38" s="74">
        <f t="shared" si="1"/>
        <v>2.5490000000000001E-3</v>
      </c>
      <c r="F38" s="2">
        <v>57102345</v>
      </c>
      <c r="G38" s="74">
        <v>2.4992465407196488E-3</v>
      </c>
    </row>
    <row r="39" spans="1:7" x14ac:dyDescent="0.25">
      <c r="A39" t="s">
        <v>38</v>
      </c>
      <c r="B39" s="2">
        <v>20611176</v>
      </c>
      <c r="C39" s="624">
        <f t="shared" si="0"/>
        <v>1.2588740524905177E-3</v>
      </c>
      <c r="D39" s="74">
        <f t="shared" si="1"/>
        <v>1.2589999999999999E-3</v>
      </c>
      <c r="F39" s="2">
        <v>26096429</v>
      </c>
      <c r="G39" s="74">
        <v>1.1421844392447617E-3</v>
      </c>
    </row>
    <row r="40" spans="1:7" x14ac:dyDescent="0.25">
      <c r="A40" t="s">
        <v>39</v>
      </c>
      <c r="B40" s="2">
        <v>9335801</v>
      </c>
      <c r="C40" s="624">
        <f t="shared" si="0"/>
        <v>5.7020509834640335E-4</v>
      </c>
      <c r="D40" s="74">
        <f t="shared" si="1"/>
        <v>5.6999999999999998E-4</v>
      </c>
      <c r="F40" s="2">
        <v>14292497</v>
      </c>
      <c r="G40" s="74">
        <v>6.2555178225160379E-4</v>
      </c>
    </row>
    <row r="41" spans="1:7" x14ac:dyDescent="0.25">
      <c r="A41" t="s">
        <v>40</v>
      </c>
      <c r="B41" s="2">
        <v>411729868</v>
      </c>
      <c r="C41" s="624">
        <f t="shared" si="0"/>
        <v>2.514733014072297E-2</v>
      </c>
      <c r="D41" s="74">
        <f t="shared" si="1"/>
        <v>2.5146999999999999E-2</v>
      </c>
      <c r="F41" s="2">
        <v>559778486</v>
      </c>
      <c r="G41" s="74">
        <v>2.4500297574552889E-2</v>
      </c>
    </row>
    <row r="42" spans="1:7" x14ac:dyDescent="0.25">
      <c r="A42" t="s">
        <v>41</v>
      </c>
      <c r="B42" s="2">
        <v>1482934832</v>
      </c>
      <c r="C42" s="624">
        <f t="shared" si="0"/>
        <v>9.057358888882347E-2</v>
      </c>
      <c r="D42" s="74">
        <f t="shared" si="1"/>
        <v>9.0574000000000002E-2</v>
      </c>
      <c r="F42" s="2">
        <v>2143770838</v>
      </c>
      <c r="G42" s="74">
        <v>9.3828228087080537E-2</v>
      </c>
    </row>
    <row r="43" spans="1:7" x14ac:dyDescent="0.25">
      <c r="A43" t="s">
        <v>42</v>
      </c>
      <c r="B43" s="2">
        <v>137752497</v>
      </c>
      <c r="C43" s="624">
        <f t="shared" si="0"/>
        <v>8.4135443867481355E-3</v>
      </c>
      <c r="D43" s="74">
        <f t="shared" si="1"/>
        <v>8.4139999999999996E-3</v>
      </c>
      <c r="F43" s="2">
        <v>202234801</v>
      </c>
      <c r="G43" s="74">
        <v>8.8513812666078176E-3</v>
      </c>
    </row>
    <row r="44" spans="1:7" x14ac:dyDescent="0.25">
      <c r="A44" t="s">
        <v>43</v>
      </c>
      <c r="B44" s="2">
        <v>9125949</v>
      </c>
      <c r="C44" s="624">
        <f t="shared" si="0"/>
        <v>5.5738791422924082E-4</v>
      </c>
      <c r="D44" s="74">
        <f t="shared" si="1"/>
        <v>5.5699999999999999E-4</v>
      </c>
      <c r="F44" s="2">
        <v>14171032</v>
      </c>
      <c r="G44" s="74">
        <v>6.2023552105307494E-4</v>
      </c>
    </row>
    <row r="45" spans="1:7" x14ac:dyDescent="0.25">
      <c r="A45" t="s">
        <v>44</v>
      </c>
      <c r="B45" s="2">
        <v>48308387</v>
      </c>
      <c r="C45" s="624">
        <f t="shared" si="0"/>
        <v>2.9505436716454336E-3</v>
      </c>
      <c r="D45" s="74">
        <f t="shared" si="1"/>
        <v>2.9510000000000001E-3</v>
      </c>
      <c r="F45" s="2">
        <v>59900217</v>
      </c>
      <c r="G45" s="74">
        <v>2.6217033665711328E-3</v>
      </c>
    </row>
    <row r="46" spans="1:7" x14ac:dyDescent="0.25">
      <c r="A46" t="s">
        <v>45</v>
      </c>
      <c r="B46" s="2">
        <v>25622505</v>
      </c>
      <c r="C46" s="624">
        <f t="shared" si="0"/>
        <v>1.5649522717339638E-3</v>
      </c>
      <c r="D46" s="74">
        <f t="shared" si="1"/>
        <v>1.565E-3</v>
      </c>
      <c r="F46" s="2">
        <v>37929237</v>
      </c>
      <c r="G46" s="74">
        <v>1.6600809365076988E-3</v>
      </c>
    </row>
    <row r="47" spans="1:7" x14ac:dyDescent="0.25">
      <c r="A47" t="s">
        <v>46</v>
      </c>
      <c r="B47" s="2">
        <v>12522152</v>
      </c>
      <c r="C47" s="624">
        <f t="shared" si="0"/>
        <v>7.6481867090661109E-4</v>
      </c>
      <c r="D47" s="74">
        <f t="shared" si="1"/>
        <v>7.6499999999999995E-4</v>
      </c>
      <c r="F47" s="2">
        <v>16757221</v>
      </c>
      <c r="G47" s="74">
        <v>7.3342743833593269E-4</v>
      </c>
    </row>
    <row r="48" spans="1:7" x14ac:dyDescent="0.25">
      <c r="A48" t="s">
        <v>47</v>
      </c>
      <c r="B48" s="2">
        <v>1630275311</v>
      </c>
      <c r="C48" s="624">
        <f t="shared" si="0"/>
        <v>9.9572740897162254E-2</v>
      </c>
      <c r="D48" s="74">
        <f t="shared" si="1"/>
        <v>9.9572999999999995E-2</v>
      </c>
      <c r="F48" s="2">
        <v>2040907280</v>
      </c>
      <c r="G48" s="74">
        <v>8.9326111904328057E-2</v>
      </c>
    </row>
    <row r="49" spans="1:7" x14ac:dyDescent="0.25">
      <c r="A49" t="s">
        <v>48</v>
      </c>
      <c r="B49" s="2">
        <v>102494614</v>
      </c>
      <c r="C49" s="624">
        <f t="shared" si="0"/>
        <v>6.2600896758453449E-3</v>
      </c>
      <c r="D49" s="74">
        <f t="shared" si="1"/>
        <v>6.2599999999999999E-3</v>
      </c>
      <c r="F49" s="2">
        <v>124141343</v>
      </c>
      <c r="G49" s="74">
        <v>5.4333989620398496E-3</v>
      </c>
    </row>
    <row r="50" spans="1:7" x14ac:dyDescent="0.25">
      <c r="A50" t="s">
        <v>49</v>
      </c>
      <c r="B50" s="2">
        <v>142849240</v>
      </c>
      <c r="C50" s="624">
        <f t="shared" si="0"/>
        <v>8.7248394586505185E-3</v>
      </c>
      <c r="D50" s="74">
        <f t="shared" si="1"/>
        <v>8.7250000000000001E-3</v>
      </c>
      <c r="F50" s="2">
        <v>225256788</v>
      </c>
      <c r="G50" s="74">
        <v>9.85900400732438E-3</v>
      </c>
    </row>
    <row r="51" spans="1:7" x14ac:dyDescent="0.25">
      <c r="A51" t="s">
        <v>50</v>
      </c>
      <c r="B51" s="2">
        <v>198440624</v>
      </c>
      <c r="C51" s="624">
        <f t="shared" si="0"/>
        <v>1.2120208595260508E-2</v>
      </c>
      <c r="D51" s="74">
        <f t="shared" si="1"/>
        <v>1.2120000000000001E-2</v>
      </c>
      <c r="F51" s="2">
        <v>290736902</v>
      </c>
      <c r="G51" s="74">
        <v>1.2724927436571082E-2</v>
      </c>
    </row>
    <row r="52" spans="1:7" x14ac:dyDescent="0.25">
      <c r="A52" t="s">
        <v>51</v>
      </c>
      <c r="B52" s="2">
        <v>73105711</v>
      </c>
      <c r="C52" s="624">
        <f t="shared" si="0"/>
        <v>4.465096153017694E-3</v>
      </c>
      <c r="D52" s="74">
        <f t="shared" si="1"/>
        <v>4.4650000000000002E-3</v>
      </c>
      <c r="F52" s="2">
        <v>109577715</v>
      </c>
      <c r="G52" s="74">
        <v>4.7959803604162594E-3</v>
      </c>
    </row>
    <row r="53" spans="1:7" x14ac:dyDescent="0.25">
      <c r="A53" t="s">
        <v>52</v>
      </c>
      <c r="B53" s="2">
        <v>38846284</v>
      </c>
      <c r="C53" s="624">
        <f t="shared" si="0"/>
        <v>2.3726243938374772E-3</v>
      </c>
      <c r="D53" s="74">
        <f t="shared" si="1"/>
        <v>2.3730000000000001E-3</v>
      </c>
      <c r="F53" s="2">
        <v>57188578</v>
      </c>
      <c r="G53" s="74">
        <v>2.5030207732305181E-3</v>
      </c>
    </row>
    <row r="54" spans="1:7" x14ac:dyDescent="0.25">
      <c r="A54" t="s">
        <v>53</v>
      </c>
      <c r="B54" s="2">
        <v>27298287</v>
      </c>
      <c r="C54" s="624">
        <f t="shared" si="0"/>
        <v>1.6673044362795805E-3</v>
      </c>
      <c r="D54" s="74">
        <f t="shared" si="1"/>
        <v>1.6670000000000001E-3</v>
      </c>
      <c r="F54" s="2">
        <v>42910655</v>
      </c>
      <c r="G54" s="74">
        <v>1.8781068635406182E-3</v>
      </c>
    </row>
    <row r="55" spans="1:7" x14ac:dyDescent="0.25">
      <c r="A55" t="s">
        <v>54</v>
      </c>
      <c r="B55" s="2">
        <v>305682285</v>
      </c>
      <c r="C55" s="624">
        <f t="shared" si="0"/>
        <v>1.8670234871242253E-2</v>
      </c>
      <c r="D55" s="74">
        <f t="shared" si="1"/>
        <v>1.8669999999999999E-2</v>
      </c>
      <c r="F55" s="2">
        <v>458306403</v>
      </c>
      <c r="G55" s="74">
        <v>2.005908325284041E-2</v>
      </c>
    </row>
    <row r="56" spans="1:7" x14ac:dyDescent="0.25">
      <c r="A56" t="s">
        <v>55</v>
      </c>
      <c r="B56" s="2">
        <v>230860560</v>
      </c>
      <c r="C56" s="624">
        <f t="shared" si="0"/>
        <v>1.4100329293555609E-2</v>
      </c>
      <c r="D56" s="74">
        <f t="shared" si="1"/>
        <v>1.41E-2</v>
      </c>
      <c r="F56" s="2">
        <v>310863086</v>
      </c>
      <c r="G56" s="74">
        <v>1.3605807122683573E-2</v>
      </c>
    </row>
    <row r="57" spans="1:7" x14ac:dyDescent="0.25">
      <c r="A57" t="s">
        <v>56</v>
      </c>
      <c r="B57" s="2">
        <v>29885676</v>
      </c>
      <c r="C57" s="624">
        <f t="shared" si="0"/>
        <v>1.8253350540279024E-3</v>
      </c>
      <c r="D57" s="74">
        <f t="shared" si="1"/>
        <v>1.825E-3</v>
      </c>
      <c r="F57" s="2">
        <v>43642884</v>
      </c>
      <c r="G57" s="74">
        <v>1.9101549483480742E-3</v>
      </c>
    </row>
    <row r="58" spans="1:7" x14ac:dyDescent="0.25">
      <c r="A58" t="s">
        <v>57</v>
      </c>
      <c r="B58" s="2">
        <v>23075795</v>
      </c>
      <c r="C58" s="624">
        <f t="shared" si="0"/>
        <v>1.4094062156419617E-3</v>
      </c>
      <c r="D58" s="74">
        <f t="shared" si="1"/>
        <v>1.4090000000000001E-3</v>
      </c>
      <c r="F58" s="2">
        <v>34168513</v>
      </c>
      <c r="G58" s="74">
        <v>1.4954821543105516E-3</v>
      </c>
    </row>
    <row r="59" spans="1:7" x14ac:dyDescent="0.25">
      <c r="A59" t="s">
        <v>58</v>
      </c>
      <c r="B59" s="2">
        <v>266218533</v>
      </c>
      <c r="C59" s="624">
        <f t="shared" si="0"/>
        <v>1.625989722691178E-2</v>
      </c>
      <c r="D59" s="74">
        <f t="shared" si="1"/>
        <v>1.626E-2</v>
      </c>
      <c r="F59" s="2">
        <v>435079299</v>
      </c>
      <c r="G59" s="74">
        <v>1.9042482983220387E-2</v>
      </c>
    </row>
    <row r="60" spans="1:7" x14ac:dyDescent="0.25">
      <c r="A60" t="s">
        <v>59</v>
      </c>
      <c r="B60" s="2">
        <v>54724791</v>
      </c>
      <c r="C60" s="624">
        <f t="shared" si="0"/>
        <v>3.3424400149640473E-3</v>
      </c>
      <c r="D60" s="74">
        <f t="shared" si="1"/>
        <v>3.3419999999999999E-3</v>
      </c>
      <c r="F60" s="2">
        <v>86269217</v>
      </c>
      <c r="G60" s="74">
        <v>3.7758176508835622E-3</v>
      </c>
    </row>
    <row r="61" spans="1:7" x14ac:dyDescent="0.25">
      <c r="A61" t="s">
        <v>60</v>
      </c>
      <c r="B61" s="2">
        <v>56287700</v>
      </c>
      <c r="C61" s="624">
        <f t="shared" si="0"/>
        <v>3.4378982065055635E-3</v>
      </c>
      <c r="D61" s="74">
        <f t="shared" si="1"/>
        <v>3.4380000000000001E-3</v>
      </c>
      <c r="F61" s="2">
        <v>74712245</v>
      </c>
      <c r="G61" s="74">
        <v>3.2699939006996803E-3</v>
      </c>
    </row>
    <row r="62" spans="1:7" x14ac:dyDescent="0.25">
      <c r="A62" t="s">
        <v>61</v>
      </c>
      <c r="B62" s="2">
        <v>26526735</v>
      </c>
      <c r="C62" s="624">
        <f t="shared" si="0"/>
        <v>1.6201801580265024E-3</v>
      </c>
      <c r="D62" s="74">
        <f t="shared" si="1"/>
        <v>1.6199999999999999E-3</v>
      </c>
      <c r="F62" s="2">
        <v>41229121</v>
      </c>
      <c r="G62" s="74">
        <v>1.8045097453731861E-3</v>
      </c>
    </row>
    <row r="63" spans="1:7" x14ac:dyDescent="0.25">
      <c r="A63" t="s">
        <v>62</v>
      </c>
      <c r="B63" s="2">
        <v>104503117</v>
      </c>
      <c r="C63" s="624">
        <f t="shared" si="0"/>
        <v>6.382763525753247E-3</v>
      </c>
      <c r="D63" s="74">
        <f t="shared" si="1"/>
        <v>6.3829999999999998E-3</v>
      </c>
      <c r="F63" s="2">
        <v>151932456</v>
      </c>
      <c r="G63" s="74">
        <v>6.6497560666035739E-3</v>
      </c>
    </row>
    <row r="64" spans="1:7" x14ac:dyDescent="0.25">
      <c r="A64" t="s">
        <v>63</v>
      </c>
      <c r="B64" s="2">
        <v>421499262</v>
      </c>
      <c r="C64" s="624">
        <f t="shared" si="0"/>
        <v>2.5744017909298453E-2</v>
      </c>
      <c r="D64" s="74">
        <f t="shared" si="1"/>
        <v>2.5744E-2</v>
      </c>
      <c r="F64" s="2">
        <v>575488135</v>
      </c>
      <c r="G64" s="74">
        <v>2.5187875044780598E-2</v>
      </c>
    </row>
    <row r="65" spans="1:7" x14ac:dyDescent="0.25">
      <c r="A65" t="s">
        <v>64</v>
      </c>
      <c r="B65" s="2">
        <v>53864159</v>
      </c>
      <c r="C65" s="624">
        <f t="shared" si="0"/>
        <v>3.289874974835186E-3</v>
      </c>
      <c r="D65" s="74">
        <f t="shared" si="1"/>
        <v>3.29E-3</v>
      </c>
      <c r="F65" s="2">
        <v>72000918</v>
      </c>
      <c r="G65" s="74">
        <v>3.151324962926463E-3</v>
      </c>
    </row>
    <row r="66" spans="1:7" x14ac:dyDescent="0.25">
      <c r="A66" t="s">
        <v>65</v>
      </c>
      <c r="B66" s="2">
        <v>60049045</v>
      </c>
      <c r="C66" s="624">
        <f t="shared" si="0"/>
        <v>3.6676308342297138E-3</v>
      </c>
      <c r="D66" s="74">
        <f t="shared" si="1"/>
        <v>3.6679999999999998E-3</v>
      </c>
      <c r="F66" s="2">
        <v>76859405</v>
      </c>
      <c r="G66" s="74">
        <v>3.3639704651012227E-3</v>
      </c>
    </row>
    <row r="67" spans="1:7" x14ac:dyDescent="0.25">
      <c r="A67" t="s">
        <v>66</v>
      </c>
      <c r="B67" s="2">
        <v>136875447</v>
      </c>
      <c r="C67" s="624">
        <f t="shared" si="0"/>
        <v>8.3599765802466128E-3</v>
      </c>
      <c r="D67" s="74">
        <f t="shared" si="1"/>
        <v>8.3599999999999994E-3</v>
      </c>
      <c r="F67" s="2">
        <v>182240367</v>
      </c>
      <c r="G67" s="74">
        <v>7.9762679939716884E-3</v>
      </c>
    </row>
    <row r="68" spans="1:7" x14ac:dyDescent="0.25">
      <c r="A68" t="s">
        <v>67</v>
      </c>
      <c r="B68" s="2">
        <v>305833188</v>
      </c>
      <c r="C68" s="624">
        <f t="shared" si="0"/>
        <v>1.8679451612254167E-2</v>
      </c>
      <c r="D68" s="74">
        <f t="shared" si="1"/>
        <v>1.8679000000000001E-2</v>
      </c>
      <c r="F68" s="2">
        <v>486672949</v>
      </c>
      <c r="G68" s="74">
        <v>2.1300625819308822E-2</v>
      </c>
    </row>
    <row r="69" spans="1:7" x14ac:dyDescent="0.25">
      <c r="A69" t="s">
        <v>68</v>
      </c>
      <c r="B69" s="2">
        <v>626738815</v>
      </c>
      <c r="C69" s="624">
        <f t="shared" si="0"/>
        <v>3.8279486424848096E-2</v>
      </c>
      <c r="D69" s="74">
        <f t="shared" si="1"/>
        <v>3.8279000000000001E-2</v>
      </c>
      <c r="F69" s="2">
        <v>830531729</v>
      </c>
      <c r="G69" s="74">
        <v>3.6350583337009343E-2</v>
      </c>
    </row>
    <row r="70" spans="1:7" x14ac:dyDescent="0.25">
      <c r="A70" t="s">
        <v>69</v>
      </c>
      <c r="B70" s="2">
        <v>310066003</v>
      </c>
      <c r="C70" s="624">
        <f t="shared" ref="C70:C85" si="2">B70/$B$86</f>
        <v>1.8937980333395193E-2</v>
      </c>
      <c r="D70" s="74">
        <f t="shared" ref="D70:D85" si="3">ROUND(C70,6)</f>
        <v>1.8938E-2</v>
      </c>
      <c r="F70" s="2">
        <v>463162638</v>
      </c>
      <c r="G70" s="74">
        <v>2.027163018982998E-2</v>
      </c>
    </row>
    <row r="71" spans="1:7" x14ac:dyDescent="0.25">
      <c r="A71" t="s">
        <v>70</v>
      </c>
      <c r="B71" s="2">
        <v>32556863</v>
      </c>
      <c r="C71" s="624">
        <f t="shared" si="2"/>
        <v>1.9884838235910748E-3</v>
      </c>
      <c r="D71" s="74">
        <f t="shared" si="3"/>
        <v>1.9880000000000002E-3</v>
      </c>
      <c r="F71" s="2">
        <v>48369271</v>
      </c>
      <c r="G71" s="74">
        <v>2.1170187183009951E-3</v>
      </c>
    </row>
    <row r="72" spans="1:7" x14ac:dyDescent="0.25">
      <c r="A72" t="s">
        <v>71</v>
      </c>
      <c r="B72" s="2">
        <v>53872904</v>
      </c>
      <c r="C72" s="624">
        <f t="shared" si="2"/>
        <v>3.2904090954301987E-3</v>
      </c>
      <c r="D72" s="74">
        <f t="shared" si="3"/>
        <v>3.29E-3</v>
      </c>
      <c r="F72" s="2">
        <v>106108415</v>
      </c>
      <c r="G72" s="74">
        <v>4.6441365784539125E-3</v>
      </c>
    </row>
    <row r="73" spans="1:7" x14ac:dyDescent="0.25">
      <c r="A73" t="s">
        <v>72</v>
      </c>
      <c r="B73" s="2">
        <v>116922280</v>
      </c>
      <c r="C73" s="624">
        <f t="shared" si="2"/>
        <v>7.1412919112442208E-3</v>
      </c>
      <c r="D73" s="74">
        <f t="shared" si="3"/>
        <v>7.1409999999999998E-3</v>
      </c>
      <c r="F73" s="2">
        <v>209671735</v>
      </c>
      <c r="G73" s="74">
        <v>9.1768798354154614E-3</v>
      </c>
    </row>
    <row r="74" spans="1:7" x14ac:dyDescent="0.25">
      <c r="A74" t="s">
        <v>73</v>
      </c>
      <c r="B74" s="2">
        <v>49426486</v>
      </c>
      <c r="C74" s="624">
        <f t="shared" si="2"/>
        <v>3.0188340893884868E-3</v>
      </c>
      <c r="D74" s="74">
        <f t="shared" si="3"/>
        <v>3.019E-3</v>
      </c>
      <c r="F74" s="2">
        <v>66452124</v>
      </c>
      <c r="G74" s="74">
        <v>2.9084662115097578E-3</v>
      </c>
    </row>
    <row r="75" spans="1:7" x14ac:dyDescent="0.25">
      <c r="A75" t="s">
        <v>74</v>
      </c>
      <c r="B75" s="2">
        <v>32344536</v>
      </c>
      <c r="C75" s="624">
        <f t="shared" si="2"/>
        <v>1.9755154732677767E-3</v>
      </c>
      <c r="D75" s="74">
        <f t="shared" si="3"/>
        <v>1.9759999999999999E-3</v>
      </c>
      <c r="F75" s="2">
        <v>50843902</v>
      </c>
      <c r="G75" s="74">
        <v>2.2253279824180397E-3</v>
      </c>
    </row>
    <row r="76" spans="1:7" x14ac:dyDescent="0.25">
      <c r="A76" t="s">
        <v>75</v>
      </c>
      <c r="B76" s="2">
        <v>210358506</v>
      </c>
      <c r="C76" s="624">
        <f t="shared" si="2"/>
        <v>1.284812011328567E-2</v>
      </c>
      <c r="D76" s="74">
        <f t="shared" si="3"/>
        <v>1.2848E-2</v>
      </c>
      <c r="F76" s="2">
        <v>274578257</v>
      </c>
      <c r="G76" s="74">
        <v>1.2017698379358689E-2</v>
      </c>
    </row>
    <row r="77" spans="1:7" x14ac:dyDescent="0.25">
      <c r="A77" t="s">
        <v>76</v>
      </c>
      <c r="B77" s="2">
        <v>188936514</v>
      </c>
      <c r="C77" s="624">
        <f t="shared" si="2"/>
        <v>1.1539723645201585E-2</v>
      </c>
      <c r="D77" s="74">
        <f t="shared" si="3"/>
        <v>1.154E-2</v>
      </c>
      <c r="F77" s="2">
        <v>277294139</v>
      </c>
      <c r="G77" s="74">
        <v>1.213656667966234E-2</v>
      </c>
    </row>
    <row r="78" spans="1:7" x14ac:dyDescent="0.25">
      <c r="A78" t="s">
        <v>77</v>
      </c>
      <c r="B78" s="2">
        <v>155237434</v>
      </c>
      <c r="C78" s="624">
        <f t="shared" si="2"/>
        <v>9.4814763426312627E-3</v>
      </c>
      <c r="D78" s="74">
        <f t="shared" si="3"/>
        <v>9.4809999999999998E-3</v>
      </c>
      <c r="F78" s="2">
        <v>228184750</v>
      </c>
      <c r="G78" s="74">
        <v>9.9871545920308148E-3</v>
      </c>
    </row>
    <row r="79" spans="1:7" x14ac:dyDescent="0.25">
      <c r="A79" t="s">
        <v>78</v>
      </c>
      <c r="B79" s="2">
        <v>199171810</v>
      </c>
      <c r="C79" s="624">
        <f t="shared" si="2"/>
        <v>1.2164867429038082E-2</v>
      </c>
      <c r="D79" s="74">
        <f t="shared" si="3"/>
        <v>1.2165E-2</v>
      </c>
      <c r="F79" s="2">
        <v>309855310</v>
      </c>
      <c r="G79" s="74">
        <v>1.3561698939704043E-2</v>
      </c>
    </row>
    <row r="80" spans="1:7" x14ac:dyDescent="0.25">
      <c r="A80" t="s">
        <v>79</v>
      </c>
      <c r="B80" s="2">
        <v>52986118</v>
      </c>
      <c r="C80" s="624">
        <f t="shared" si="2"/>
        <v>3.2362466407739551E-3</v>
      </c>
      <c r="D80" s="74">
        <f t="shared" si="3"/>
        <v>3.2360000000000002E-3</v>
      </c>
      <c r="F80" s="2">
        <v>82770504</v>
      </c>
      <c r="G80" s="74">
        <v>3.622686525319089E-3</v>
      </c>
    </row>
    <row r="81" spans="1:7" x14ac:dyDescent="0.25">
      <c r="A81" t="s">
        <v>80</v>
      </c>
      <c r="B81" s="2">
        <v>75849249</v>
      </c>
      <c r="C81" s="624">
        <f t="shared" si="2"/>
        <v>4.6326639230576819E-3</v>
      </c>
      <c r="D81" s="74">
        <f t="shared" si="3"/>
        <v>4.633E-3</v>
      </c>
      <c r="F81" s="2">
        <v>103250202</v>
      </c>
      <c r="G81" s="74">
        <v>4.5190387571141773E-3</v>
      </c>
    </row>
    <row r="82" spans="1:7" x14ac:dyDescent="0.25">
      <c r="A82" t="s">
        <v>81</v>
      </c>
      <c r="B82" s="2">
        <v>62291931</v>
      </c>
      <c r="C82" s="624">
        <f t="shared" si="2"/>
        <v>3.8046201543972895E-3</v>
      </c>
      <c r="D82" s="74">
        <f t="shared" si="3"/>
        <v>3.8049999999999998E-3</v>
      </c>
      <c r="F82" s="2">
        <v>93523289</v>
      </c>
      <c r="G82" s="74">
        <v>4.0933127441609264E-3</v>
      </c>
    </row>
    <row r="83" spans="1:7" x14ac:dyDescent="0.25">
      <c r="A83" t="s">
        <v>82</v>
      </c>
      <c r="B83" s="2">
        <v>237112397</v>
      </c>
      <c r="C83" s="624">
        <f t="shared" si="2"/>
        <v>1.4482174336249929E-2</v>
      </c>
      <c r="D83" s="74">
        <f t="shared" si="3"/>
        <v>1.4482E-2</v>
      </c>
      <c r="F83" s="2">
        <v>292873540</v>
      </c>
      <c r="G83" s="74">
        <v>1.2818443475715712E-2</v>
      </c>
    </row>
    <row r="84" spans="1:7" x14ac:dyDescent="0.25">
      <c r="A84" t="s">
        <v>83</v>
      </c>
      <c r="B84" s="2">
        <v>313340626</v>
      </c>
      <c r="C84" s="624">
        <f t="shared" si="2"/>
        <v>1.913798531740914E-2</v>
      </c>
      <c r="D84" s="74">
        <f t="shared" si="3"/>
        <v>1.9137999999999999E-2</v>
      </c>
      <c r="F84" s="2">
        <v>461767040</v>
      </c>
      <c r="G84" s="74">
        <v>2.0210547873968254E-2</v>
      </c>
    </row>
    <row r="85" spans="1:7" x14ac:dyDescent="0.25">
      <c r="A85" t="s">
        <v>84</v>
      </c>
      <c r="B85" s="2">
        <v>194683705</v>
      </c>
      <c r="C85" s="624">
        <f t="shared" si="2"/>
        <v>1.1890746295467006E-2</v>
      </c>
      <c r="D85" s="74">
        <f t="shared" si="3"/>
        <v>1.1891000000000001E-2</v>
      </c>
      <c r="F85" s="2">
        <v>284138304</v>
      </c>
      <c r="G85" s="74">
        <v>1.2436121027217847E-2</v>
      </c>
    </row>
    <row r="86" spans="1:7" x14ac:dyDescent="0.25">
      <c r="A86" t="s">
        <v>312</v>
      </c>
      <c r="B86" s="46">
        <f>SUM(B5:B85)</f>
        <v>16372706991</v>
      </c>
      <c r="C86" s="624">
        <f>SUM(C5:C85)</f>
        <v>1.0000000000000004</v>
      </c>
      <c r="D86" s="75">
        <f>SUM(D5:D85)</f>
        <v>0.99999599999999977</v>
      </c>
      <c r="F86" s="2">
        <f>SUM(F5:F85)</f>
        <v>22847823962</v>
      </c>
      <c r="G86" s="74">
        <f>SUM(G5:G85)</f>
        <v>0.99999999999999978</v>
      </c>
    </row>
  </sheetData>
  <pageMargins left="0.7" right="0.7" top="0.75" bottom="0.75" header="0.3" footer="0.3"/>
  <pageSetup paperSize="5" scale="85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8"/>
  <dimension ref="A1:CR92"/>
  <sheetViews>
    <sheetView zoomScale="87" zoomScaleNormal="87" workbookViewId="0">
      <pane xSplit="1" ySplit="4" topLeftCell="B5" activePane="bottomRight" state="frozen"/>
      <selection pane="topRight" activeCell="B1" sqref="B1"/>
      <selection pane="bottomLeft" activeCell="A3" sqref="A3"/>
      <selection pane="bottomRight" activeCell="G35" sqref="G35"/>
    </sheetView>
  </sheetViews>
  <sheetFormatPr defaultColWidth="17.42578125" defaultRowHeight="15" x14ac:dyDescent="0.25"/>
  <cols>
    <col min="1" max="1" width="26.140625" style="45" bestFit="1" customWidth="1"/>
    <col min="2" max="2" width="24.140625" style="45" bestFit="1" customWidth="1"/>
    <col min="3" max="3" width="25.85546875" style="45" bestFit="1" customWidth="1"/>
    <col min="4" max="4" width="29.140625" style="45" bestFit="1" customWidth="1"/>
    <col min="5" max="5" width="29.5703125" style="45" bestFit="1" customWidth="1"/>
    <col min="6" max="6" width="34.140625" style="45" bestFit="1" customWidth="1"/>
    <col min="7" max="7" width="24.140625" style="45" bestFit="1" customWidth="1"/>
    <col min="8" max="8" width="23.7109375" style="45" bestFit="1" customWidth="1"/>
    <col min="9" max="9" width="29.28515625" style="45" bestFit="1" customWidth="1"/>
    <col min="10" max="10" width="23.140625" style="45" bestFit="1" customWidth="1"/>
    <col min="11" max="11" width="21.42578125" style="45" bestFit="1" customWidth="1"/>
    <col min="12" max="12" width="25" style="45" bestFit="1" customWidth="1"/>
    <col min="13" max="13" width="27.28515625" style="45" bestFit="1" customWidth="1"/>
    <col min="14" max="14" width="31.5703125" style="45" bestFit="1" customWidth="1"/>
    <col min="15" max="15" width="21.85546875" style="45" bestFit="1" customWidth="1"/>
    <col min="16" max="16" width="16.42578125" style="45" bestFit="1" customWidth="1"/>
    <col min="17" max="17" width="24.85546875" style="45" bestFit="1" customWidth="1"/>
    <col min="18" max="18" width="20" style="45" bestFit="1" customWidth="1"/>
    <col min="19" max="19" width="23.42578125" style="45" bestFit="1" customWidth="1"/>
    <col min="20" max="20" width="23.5703125" style="45" bestFit="1" customWidth="1"/>
    <col min="21" max="21" width="17.28515625" style="45" bestFit="1" customWidth="1"/>
    <col min="22" max="22" width="19.5703125" style="45" bestFit="1" customWidth="1"/>
    <col min="23" max="23" width="24.28515625" style="45" bestFit="1" customWidth="1"/>
    <col min="24" max="24" width="15.28515625" style="45" bestFit="1" customWidth="1"/>
    <col min="25" max="25" width="17.28515625" style="45" bestFit="1" customWidth="1"/>
    <col min="26" max="26" width="15.140625" style="45" bestFit="1" customWidth="1"/>
    <col min="27" max="27" width="16" style="45" bestFit="1" customWidth="1"/>
    <col min="28" max="28" width="15.5703125" style="45" bestFit="1" customWidth="1"/>
    <col min="29" max="29" width="15.7109375" style="45" bestFit="1" customWidth="1"/>
    <col min="30" max="30" width="22.7109375" style="45" bestFit="1" customWidth="1"/>
    <col min="31" max="31" width="19.42578125" style="45" bestFit="1" customWidth="1"/>
    <col min="32" max="32" width="20.5703125" style="45" bestFit="1" customWidth="1"/>
    <col min="33" max="33" width="23.28515625" style="45" bestFit="1" customWidth="1"/>
    <col min="34" max="34" width="26.85546875" style="45" bestFit="1" customWidth="1"/>
    <col min="35" max="35" width="31.5703125" style="45" bestFit="1" customWidth="1"/>
    <col min="36" max="36" width="32.7109375" style="45" bestFit="1" customWidth="1"/>
    <col min="37" max="37" width="27.28515625" style="45" bestFit="1" customWidth="1"/>
    <col min="38" max="38" width="15.5703125" style="45" bestFit="1" customWidth="1"/>
    <col min="39" max="39" width="21.5703125" style="45" bestFit="1" customWidth="1"/>
    <col min="40" max="40" width="26.42578125" style="45" bestFit="1" customWidth="1"/>
    <col min="41" max="41" width="12.85546875" style="45" bestFit="1" customWidth="1"/>
    <col min="42" max="42" width="30.42578125" style="45" bestFit="1" customWidth="1"/>
    <col min="43" max="43" width="20.7109375" style="45" bestFit="1" customWidth="1"/>
    <col min="44" max="44" width="37.7109375" style="45" bestFit="1" customWidth="1"/>
    <col min="45" max="45" width="32.85546875" style="45" bestFit="1" customWidth="1"/>
    <col min="46" max="46" width="34" style="45" bestFit="1" customWidth="1"/>
    <col min="47" max="47" width="21.85546875" style="45" bestFit="1" customWidth="1"/>
    <col min="48" max="48" width="41.7109375" style="45" bestFit="1" customWidth="1"/>
    <col min="49" max="49" width="28.7109375" style="45" bestFit="1" customWidth="1"/>
    <col min="50" max="50" width="30.5703125" style="45" bestFit="1" customWidth="1"/>
    <col min="51" max="51" width="28.140625" style="45" bestFit="1" customWidth="1"/>
    <col min="52" max="52" width="27.85546875" style="45" bestFit="1" customWidth="1"/>
    <col min="53" max="53" width="29.140625" style="45" bestFit="1" customWidth="1"/>
    <col min="54" max="54" width="16.5703125" style="45" bestFit="1" customWidth="1"/>
    <col min="55" max="55" width="26" style="45" bestFit="1" customWidth="1"/>
    <col min="56" max="56" width="31.5703125" style="45" bestFit="1" customWidth="1"/>
    <col min="57" max="57" width="35" style="45" bestFit="1" customWidth="1"/>
    <col min="58" max="58" width="22.85546875" style="45" bestFit="1" customWidth="1"/>
    <col min="59" max="59" width="17.5703125" style="45" bestFit="1" customWidth="1"/>
    <col min="60" max="60" width="28.42578125" style="45" bestFit="1" customWidth="1"/>
    <col min="61" max="61" width="29.140625" style="45" bestFit="1" customWidth="1"/>
    <col min="62" max="62" width="25" style="45" bestFit="1" customWidth="1"/>
    <col min="63" max="63" width="26.42578125" style="45" bestFit="1" customWidth="1"/>
    <col min="64" max="64" width="16.85546875" style="45" bestFit="1" customWidth="1"/>
    <col min="65" max="65" width="17.42578125" style="45"/>
    <col min="66" max="66" width="27.28515625" style="45" bestFit="1" customWidth="1"/>
    <col min="67" max="67" width="24" style="45" bestFit="1" customWidth="1"/>
    <col min="68" max="68" width="17.85546875" style="45" bestFit="1" customWidth="1"/>
    <col min="69" max="69" width="23.140625" style="45" bestFit="1" customWidth="1"/>
    <col min="70" max="70" width="31" style="45" bestFit="1" customWidth="1"/>
    <col min="71" max="71" width="21.85546875" style="45" bestFit="1" customWidth="1"/>
    <col min="72" max="72" width="19.7109375" style="45" bestFit="1" customWidth="1"/>
    <col min="73" max="73" width="25.28515625" style="45" bestFit="1" customWidth="1"/>
    <col min="74" max="74" width="31" style="45" bestFit="1" customWidth="1"/>
    <col min="75" max="75" width="37.140625" style="45" bestFit="1" customWidth="1"/>
    <col min="76" max="76" width="35" style="45" bestFit="1" customWidth="1"/>
    <col min="77" max="77" width="30.7109375" style="45" bestFit="1" customWidth="1"/>
    <col min="78" max="78" width="20.85546875" style="45" bestFit="1" customWidth="1"/>
    <col min="79" max="79" width="30.28515625" style="45" bestFit="1" customWidth="1"/>
    <col min="80" max="80" width="26.42578125" style="45" customWidth="1"/>
    <col min="81" max="84" width="17.42578125" style="45"/>
    <col min="85" max="85" width="30.7109375" style="45" bestFit="1" customWidth="1"/>
    <col min="86" max="86" width="17.42578125" style="45"/>
    <col min="87" max="87" width="22.42578125" style="45" bestFit="1" customWidth="1"/>
    <col min="88" max="88" width="21.5703125" style="45" bestFit="1" customWidth="1"/>
    <col min="89" max="89" width="24" style="45" bestFit="1" customWidth="1"/>
    <col min="90" max="90" width="27" style="45" bestFit="1" customWidth="1"/>
    <col min="91" max="91" width="29.28515625" style="45" bestFit="1" customWidth="1"/>
    <col min="92" max="92" width="32.140625" style="45" bestFit="1" customWidth="1"/>
    <col min="93" max="93" width="34.85546875" style="45" bestFit="1" customWidth="1"/>
    <col min="94" max="94" width="29.42578125" style="45" bestFit="1" customWidth="1"/>
    <col min="95" max="95" width="5.140625" style="45" customWidth="1"/>
    <col min="96" max="96" width="21.7109375" style="45" bestFit="1" customWidth="1"/>
    <col min="97" max="16384" width="17.42578125" style="45"/>
  </cols>
  <sheetData>
    <row r="1" spans="1:96" ht="15.75" x14ac:dyDescent="0.25">
      <c r="B1" s="87" t="s">
        <v>627</v>
      </c>
      <c r="C1" s="343" t="s">
        <v>626</v>
      </c>
      <c r="BI1" s="92"/>
      <c r="BL1" s="2"/>
      <c r="BN1" s="92" t="s">
        <v>558</v>
      </c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</row>
    <row r="2" spans="1:96" x14ac:dyDescent="0.25">
      <c r="A2" s="88" t="s">
        <v>229</v>
      </c>
      <c r="D2" s="45" t="s">
        <v>230</v>
      </c>
      <c r="E2" s="45" t="s">
        <v>231</v>
      </c>
      <c r="F2" s="45" t="s">
        <v>232</v>
      </c>
      <c r="G2" s="45" t="s">
        <v>232</v>
      </c>
      <c r="H2" s="45" t="s">
        <v>231</v>
      </c>
      <c r="I2" s="45" t="s">
        <v>233</v>
      </c>
      <c r="J2" s="45" t="s">
        <v>232</v>
      </c>
      <c r="K2" s="45" t="s">
        <v>232</v>
      </c>
      <c r="L2" s="45" t="s">
        <v>232</v>
      </c>
      <c r="M2" s="45" t="s">
        <v>232</v>
      </c>
      <c r="N2" s="45" t="s">
        <v>232</v>
      </c>
      <c r="O2" s="45" t="s">
        <v>234</v>
      </c>
      <c r="P2" s="45" t="s">
        <v>231</v>
      </c>
      <c r="Q2" s="45" t="s">
        <v>231</v>
      </c>
      <c r="R2" s="45" t="s">
        <v>231</v>
      </c>
      <c r="S2" s="45" t="s">
        <v>231</v>
      </c>
      <c r="T2" s="45" t="s">
        <v>231</v>
      </c>
      <c r="U2" s="45" t="s">
        <v>231</v>
      </c>
      <c r="V2" s="45" t="s">
        <v>231</v>
      </c>
      <c r="W2" s="45" t="s">
        <v>231</v>
      </c>
      <c r="X2" s="45" t="s">
        <v>231</v>
      </c>
      <c r="Y2" s="45" t="s">
        <v>231</v>
      </c>
      <c r="Z2" s="45" t="s">
        <v>231</v>
      </c>
      <c r="AA2" s="45" t="s">
        <v>231</v>
      </c>
      <c r="AB2" s="45" t="s">
        <v>231</v>
      </c>
      <c r="AC2" s="45" t="s">
        <v>231</v>
      </c>
      <c r="AD2" s="45" t="s">
        <v>231</v>
      </c>
      <c r="AE2" s="45" t="s">
        <v>231</v>
      </c>
      <c r="AF2" s="45" t="s">
        <v>231</v>
      </c>
      <c r="AG2" s="45" t="s">
        <v>231</v>
      </c>
      <c r="AH2" s="45" t="s">
        <v>235</v>
      </c>
      <c r="AI2" s="45" t="s">
        <v>231</v>
      </c>
      <c r="AJ2" s="45" t="s">
        <v>231</v>
      </c>
      <c r="AK2" s="45" t="s">
        <v>231</v>
      </c>
      <c r="AL2" s="45" t="s">
        <v>231</v>
      </c>
      <c r="AM2" s="45" t="s">
        <v>231</v>
      </c>
      <c r="AN2" s="45" t="s">
        <v>231</v>
      </c>
      <c r="AO2" s="45" t="s">
        <v>231</v>
      </c>
      <c r="AP2" s="45" t="s">
        <v>236</v>
      </c>
      <c r="AQ2" s="45" t="s">
        <v>231</v>
      </c>
      <c r="AR2" s="45" t="s">
        <v>231</v>
      </c>
      <c r="AS2" s="45" t="s">
        <v>237</v>
      </c>
      <c r="AT2" s="45" t="s">
        <v>237</v>
      </c>
      <c r="AU2" s="45" t="s">
        <v>231</v>
      </c>
      <c r="AV2" s="45" t="s">
        <v>231</v>
      </c>
      <c r="AW2" s="45" t="s">
        <v>238</v>
      </c>
      <c r="AX2" s="45" t="s">
        <v>236</v>
      </c>
      <c r="AY2" s="45" t="s">
        <v>237</v>
      </c>
      <c r="AZ2" s="45" t="s">
        <v>237</v>
      </c>
      <c r="BA2" s="45" t="s">
        <v>231</v>
      </c>
      <c r="BB2" s="45" t="s">
        <v>237</v>
      </c>
      <c r="BC2" s="45" t="s">
        <v>231</v>
      </c>
      <c r="BD2" s="45" t="s">
        <v>231</v>
      </c>
      <c r="BE2" s="45" t="s">
        <v>231</v>
      </c>
      <c r="BF2" s="45" t="s">
        <v>231</v>
      </c>
      <c r="BG2" s="45" t="s">
        <v>231</v>
      </c>
      <c r="BH2" s="45" t="s">
        <v>239</v>
      </c>
      <c r="BI2" s="45" t="s">
        <v>625</v>
      </c>
      <c r="BJ2" s="45" t="s">
        <v>231</v>
      </c>
      <c r="BK2" s="45" t="s">
        <v>231</v>
      </c>
      <c r="BL2" s="2"/>
      <c r="BN2" s="45" t="s">
        <v>240</v>
      </c>
      <c r="BO2" s="45" t="s">
        <v>240</v>
      </c>
      <c r="BP2" s="45" t="s">
        <v>240</v>
      </c>
      <c r="BQ2" s="45" t="s">
        <v>240</v>
      </c>
      <c r="BR2" s="45" t="s">
        <v>240</v>
      </c>
      <c r="BS2" s="45" t="s">
        <v>240</v>
      </c>
      <c r="BT2" s="45" t="s">
        <v>240</v>
      </c>
      <c r="BU2" s="45" t="s">
        <v>240</v>
      </c>
      <c r="BV2" s="45" t="s">
        <v>240</v>
      </c>
      <c r="BW2" s="45" t="s">
        <v>240</v>
      </c>
      <c r="BX2" s="45" t="s">
        <v>240</v>
      </c>
      <c r="BY2" s="45" t="s">
        <v>240</v>
      </c>
      <c r="BZ2" s="45" t="s">
        <v>240</v>
      </c>
      <c r="CA2" s="45" t="s">
        <v>240</v>
      </c>
      <c r="CB2" s="45" t="s">
        <v>240</v>
      </c>
    </row>
    <row r="3" spans="1:96" x14ac:dyDescent="0.25">
      <c r="A3" s="88" t="s">
        <v>241</v>
      </c>
      <c r="B3" s="45" t="s">
        <v>146</v>
      </c>
      <c r="C3" s="45" t="s">
        <v>146</v>
      </c>
      <c r="D3" s="45" t="s">
        <v>242</v>
      </c>
      <c r="E3" s="45" t="s">
        <v>243</v>
      </c>
      <c r="F3" s="45" t="s">
        <v>244</v>
      </c>
      <c r="G3" s="45" t="s">
        <v>244</v>
      </c>
      <c r="H3" s="45" t="s">
        <v>245</v>
      </c>
      <c r="I3" s="45" t="s">
        <v>243</v>
      </c>
      <c r="J3" s="45" t="s">
        <v>244</v>
      </c>
      <c r="K3" s="45" t="s">
        <v>244</v>
      </c>
      <c r="L3" s="45" t="s">
        <v>244</v>
      </c>
      <c r="M3" s="45" t="s">
        <v>244</v>
      </c>
      <c r="N3" s="45" t="s">
        <v>244</v>
      </c>
      <c r="O3" s="45" t="s">
        <v>146</v>
      </c>
      <c r="P3" s="45" t="s">
        <v>245</v>
      </c>
      <c r="Q3" s="45" t="s">
        <v>246</v>
      </c>
      <c r="R3" s="45" t="s">
        <v>246</v>
      </c>
      <c r="S3" s="45" t="s">
        <v>246</v>
      </c>
      <c r="T3" s="45" t="s">
        <v>246</v>
      </c>
      <c r="U3" s="45" t="s">
        <v>246</v>
      </c>
      <c r="V3" s="45" t="s">
        <v>246</v>
      </c>
      <c r="W3" s="45" t="s">
        <v>246</v>
      </c>
      <c r="X3" s="45" t="s">
        <v>246</v>
      </c>
      <c r="Y3" s="45" t="s">
        <v>246</v>
      </c>
      <c r="Z3" s="45" t="s">
        <v>246</v>
      </c>
      <c r="AA3" s="45" t="s">
        <v>246</v>
      </c>
      <c r="AB3" s="45" t="s">
        <v>246</v>
      </c>
      <c r="AC3" s="45" t="s">
        <v>246</v>
      </c>
      <c r="AD3" s="45" t="s">
        <v>246</v>
      </c>
      <c r="AE3" s="45" t="s">
        <v>246</v>
      </c>
      <c r="AF3" s="45" t="s">
        <v>246</v>
      </c>
      <c r="AG3" s="45" t="s">
        <v>247</v>
      </c>
      <c r="AH3" s="45" t="s">
        <v>247</v>
      </c>
      <c r="AI3" s="45" t="s">
        <v>247</v>
      </c>
      <c r="AJ3" s="45" t="s">
        <v>247</v>
      </c>
      <c r="AK3" s="45" t="s">
        <v>247</v>
      </c>
      <c r="AL3" s="45" t="s">
        <v>247</v>
      </c>
      <c r="AM3" s="45" t="s">
        <v>246</v>
      </c>
      <c r="AN3" s="45" t="s">
        <v>246</v>
      </c>
      <c r="AO3" s="45" t="s">
        <v>247</v>
      </c>
      <c r="AP3" s="45" t="s">
        <v>247</v>
      </c>
      <c r="AQ3" s="45" t="s">
        <v>247</v>
      </c>
      <c r="AR3" s="45" t="s">
        <v>247</v>
      </c>
      <c r="AS3" s="45" t="s">
        <v>247</v>
      </c>
      <c r="AT3" s="45" t="s">
        <v>247</v>
      </c>
      <c r="AU3" s="45" t="s">
        <v>246</v>
      </c>
      <c r="AV3" s="45" t="s">
        <v>245</v>
      </c>
      <c r="AW3" s="45" t="s">
        <v>247</v>
      </c>
      <c r="AX3" s="45" t="s">
        <v>247</v>
      </c>
      <c r="AY3" s="45" t="s">
        <v>247</v>
      </c>
      <c r="AZ3" s="45" t="s">
        <v>247</v>
      </c>
      <c r="BA3" s="45" t="s">
        <v>246</v>
      </c>
      <c r="BB3" s="45" t="s">
        <v>247</v>
      </c>
      <c r="BC3" s="45" t="s">
        <v>247</v>
      </c>
      <c r="BD3" s="45" t="s">
        <v>246</v>
      </c>
      <c r="BE3" s="45" t="s">
        <v>245</v>
      </c>
      <c r="BF3" s="45" t="s">
        <v>246</v>
      </c>
      <c r="BG3" s="45" t="s">
        <v>248</v>
      </c>
      <c r="BH3" s="45" t="s">
        <v>249</v>
      </c>
      <c r="BI3" s="45" t="s">
        <v>245</v>
      </c>
      <c r="BJ3" s="45" t="s">
        <v>245</v>
      </c>
      <c r="BK3" s="45" t="s">
        <v>245</v>
      </c>
      <c r="BL3" s="2" t="s">
        <v>91</v>
      </c>
      <c r="BN3" s="45" t="s">
        <v>250</v>
      </c>
    </row>
    <row r="4" spans="1:96" s="88" customFormat="1" ht="15.75" x14ac:dyDescent="0.25">
      <c r="A4" s="88" t="s">
        <v>251</v>
      </c>
      <c r="B4" s="89" t="s">
        <v>252</v>
      </c>
      <c r="C4" s="89" t="s">
        <v>253</v>
      </c>
      <c r="D4" s="89" t="s">
        <v>254</v>
      </c>
      <c r="E4" s="89" t="s">
        <v>255</v>
      </c>
      <c r="F4" s="89" t="s">
        <v>256</v>
      </c>
      <c r="G4" s="89" t="s">
        <v>257</v>
      </c>
      <c r="H4" s="89" t="s">
        <v>258</v>
      </c>
      <c r="I4" s="89" t="s">
        <v>259</v>
      </c>
      <c r="J4" s="89" t="s">
        <v>260</v>
      </c>
      <c r="K4" s="89" t="s">
        <v>261</v>
      </c>
      <c r="L4" s="89" t="s">
        <v>262</v>
      </c>
      <c r="M4" s="89" t="s">
        <v>263</v>
      </c>
      <c r="N4" s="89" t="s">
        <v>264</v>
      </c>
      <c r="O4" s="89" t="s">
        <v>265</v>
      </c>
      <c r="P4" s="89" t="s">
        <v>266</v>
      </c>
      <c r="Q4" s="89" t="s">
        <v>267</v>
      </c>
      <c r="R4" s="89" t="s">
        <v>268</v>
      </c>
      <c r="S4" s="89" t="s">
        <v>269</v>
      </c>
      <c r="T4" s="89" t="s">
        <v>270</v>
      </c>
      <c r="U4" s="89" t="s">
        <v>271</v>
      </c>
      <c r="V4" s="89" t="s">
        <v>272</v>
      </c>
      <c r="W4" s="89" t="s">
        <v>273</v>
      </c>
      <c r="X4" s="89" t="s">
        <v>274</v>
      </c>
      <c r="Y4" s="89" t="s">
        <v>275</v>
      </c>
      <c r="Z4" s="89" t="s">
        <v>276</v>
      </c>
      <c r="AA4" s="89" t="s">
        <v>277</v>
      </c>
      <c r="AB4" s="89" t="s">
        <v>278</v>
      </c>
      <c r="AC4" s="89" t="s">
        <v>279</v>
      </c>
      <c r="AD4" s="89" t="s">
        <v>280</v>
      </c>
      <c r="AE4" s="89" t="s">
        <v>281</v>
      </c>
      <c r="AF4" s="89" t="s">
        <v>282</v>
      </c>
      <c r="AG4" s="89" t="s">
        <v>283</v>
      </c>
      <c r="AH4" s="89" t="s">
        <v>284</v>
      </c>
      <c r="AI4" s="89" t="s">
        <v>285</v>
      </c>
      <c r="AJ4" s="89" t="s">
        <v>286</v>
      </c>
      <c r="AK4" s="89" t="s">
        <v>287</v>
      </c>
      <c r="AL4" s="89" t="s">
        <v>288</v>
      </c>
      <c r="AM4" s="89" t="s">
        <v>289</v>
      </c>
      <c r="AN4" s="89" t="s">
        <v>290</v>
      </c>
      <c r="AO4" s="89" t="s">
        <v>291</v>
      </c>
      <c r="AP4" s="89" t="s">
        <v>292</v>
      </c>
      <c r="AQ4" s="89" t="s">
        <v>293</v>
      </c>
      <c r="AR4" s="89" t="s">
        <v>294</v>
      </c>
      <c r="AS4" s="89" t="s">
        <v>295</v>
      </c>
      <c r="AT4" s="89" t="s">
        <v>296</v>
      </c>
      <c r="AU4" s="89" t="s">
        <v>297</v>
      </c>
      <c r="AV4" s="89" t="s">
        <v>298</v>
      </c>
      <c r="AW4" s="89" t="s">
        <v>299</v>
      </c>
      <c r="AX4" s="89" t="s">
        <v>300</v>
      </c>
      <c r="AY4" s="89" t="s">
        <v>301</v>
      </c>
      <c r="AZ4" s="89" t="s">
        <v>302</v>
      </c>
      <c r="BA4" s="89" t="s">
        <v>303</v>
      </c>
      <c r="BB4" s="89" t="s">
        <v>304</v>
      </c>
      <c r="BC4" s="89" t="s">
        <v>305</v>
      </c>
      <c r="BD4" s="89" t="s">
        <v>306</v>
      </c>
      <c r="BE4" s="89" t="s">
        <v>307</v>
      </c>
      <c r="BF4" s="89" t="s">
        <v>308</v>
      </c>
      <c r="BG4" s="89" t="s">
        <v>248</v>
      </c>
      <c r="BH4" s="89" t="s">
        <v>309</v>
      </c>
      <c r="BI4" s="89" t="s">
        <v>321</v>
      </c>
      <c r="BJ4" s="89" t="s">
        <v>310</v>
      </c>
      <c r="BK4" s="89" t="s">
        <v>311</v>
      </c>
      <c r="BL4" s="90" t="s">
        <v>312</v>
      </c>
      <c r="BN4" s="343" t="s">
        <v>313</v>
      </c>
      <c r="BO4" s="343" t="s">
        <v>314</v>
      </c>
      <c r="BP4" s="343" t="s">
        <v>315</v>
      </c>
      <c r="BQ4" s="343" t="s">
        <v>316</v>
      </c>
      <c r="BR4" s="343" t="s">
        <v>317</v>
      </c>
      <c r="BS4" s="343" t="s">
        <v>318</v>
      </c>
      <c r="BT4" s="343" t="s">
        <v>319</v>
      </c>
      <c r="BU4" s="343" t="s">
        <v>320</v>
      </c>
      <c r="BV4" s="343" t="s">
        <v>322</v>
      </c>
      <c r="BW4" s="343" t="s">
        <v>323</v>
      </c>
      <c r="BX4" s="343" t="s">
        <v>324</v>
      </c>
      <c r="BY4" s="343" t="s">
        <v>325</v>
      </c>
      <c r="BZ4" s="343" t="s">
        <v>326</v>
      </c>
      <c r="CA4" s="343" t="s">
        <v>327</v>
      </c>
      <c r="CB4" s="345" t="s">
        <v>328</v>
      </c>
      <c r="CC4" s="343"/>
      <c r="CD4" s="343" t="s">
        <v>329</v>
      </c>
      <c r="CE4" s="343" t="s">
        <v>330</v>
      </c>
      <c r="CF4" s="343" t="s">
        <v>331</v>
      </c>
      <c r="CG4" s="343" t="s">
        <v>332</v>
      </c>
      <c r="CH4" s="343" t="s">
        <v>333</v>
      </c>
      <c r="CI4" s="343" t="s">
        <v>334</v>
      </c>
      <c r="CJ4" s="343" t="s">
        <v>335</v>
      </c>
      <c r="CK4" s="343" t="s">
        <v>336</v>
      </c>
      <c r="CL4" s="343" t="s">
        <v>337</v>
      </c>
      <c r="CM4" s="343" t="s">
        <v>338</v>
      </c>
      <c r="CN4" s="343" t="s">
        <v>339</v>
      </c>
      <c r="CO4" s="343" t="s">
        <v>340</v>
      </c>
      <c r="CP4" s="345" t="s">
        <v>341</v>
      </c>
      <c r="CQ4" s="343"/>
      <c r="CR4" s="346" t="s">
        <v>342</v>
      </c>
    </row>
    <row r="5" spans="1:96" s="795" customFormat="1" ht="15.75" x14ac:dyDescent="0.25">
      <c r="A5" s="794" t="s">
        <v>715</v>
      </c>
      <c r="B5" s="794" t="s">
        <v>716</v>
      </c>
      <c r="C5" s="794" t="s">
        <v>717</v>
      </c>
      <c r="D5" s="794" t="s">
        <v>718</v>
      </c>
      <c r="E5" s="794" t="s">
        <v>719</v>
      </c>
      <c r="F5" s="794" t="s">
        <v>720</v>
      </c>
      <c r="G5" s="794" t="s">
        <v>721</v>
      </c>
      <c r="H5" s="794" t="s">
        <v>722</v>
      </c>
      <c r="I5" s="794" t="s">
        <v>723</v>
      </c>
      <c r="J5" s="794" t="s">
        <v>724</v>
      </c>
      <c r="K5" s="794" t="s">
        <v>725</v>
      </c>
      <c r="L5" s="794" t="s">
        <v>726</v>
      </c>
      <c r="M5" s="794" t="s">
        <v>727</v>
      </c>
      <c r="N5" s="794" t="s">
        <v>728</v>
      </c>
      <c r="O5" s="794" t="s">
        <v>729</v>
      </c>
      <c r="P5" s="794" t="s">
        <v>730</v>
      </c>
      <c r="Q5" s="794" t="s">
        <v>731</v>
      </c>
      <c r="R5" s="794" t="s">
        <v>732</v>
      </c>
      <c r="S5" s="794" t="s">
        <v>733</v>
      </c>
      <c r="T5" s="794" t="s">
        <v>734</v>
      </c>
      <c r="U5" s="794" t="s">
        <v>735</v>
      </c>
      <c r="V5" s="794" t="s">
        <v>736</v>
      </c>
      <c r="W5" s="794" t="s">
        <v>737</v>
      </c>
      <c r="X5" s="794" t="s">
        <v>738</v>
      </c>
      <c r="Y5" s="794" t="s">
        <v>739</v>
      </c>
      <c r="Z5" s="794" t="s">
        <v>740</v>
      </c>
      <c r="AA5" s="794" t="s">
        <v>741</v>
      </c>
      <c r="AB5" s="794" t="s">
        <v>742</v>
      </c>
      <c r="AC5" s="794" t="s">
        <v>743</v>
      </c>
      <c r="AD5" s="794" t="s">
        <v>744</v>
      </c>
      <c r="AE5" s="794" t="s">
        <v>745</v>
      </c>
      <c r="AF5" s="794" t="s">
        <v>746</v>
      </c>
      <c r="AG5" s="794" t="s">
        <v>747</v>
      </c>
      <c r="AH5" s="794" t="s">
        <v>748</v>
      </c>
      <c r="AI5" s="794" t="s">
        <v>749</v>
      </c>
      <c r="AJ5" s="794" t="s">
        <v>750</v>
      </c>
      <c r="AK5" s="794" t="s">
        <v>751</v>
      </c>
      <c r="AL5" s="794" t="s">
        <v>752</v>
      </c>
      <c r="AM5" s="794" t="s">
        <v>753</v>
      </c>
      <c r="AN5" s="794" t="s">
        <v>754</v>
      </c>
      <c r="AO5" s="794" t="s">
        <v>755</v>
      </c>
      <c r="AP5" s="794" t="s">
        <v>756</v>
      </c>
      <c r="AQ5" s="794" t="s">
        <v>757</v>
      </c>
      <c r="AR5" s="794" t="s">
        <v>758</v>
      </c>
      <c r="AS5" s="794" t="s">
        <v>759</v>
      </c>
      <c r="AT5" s="794" t="s">
        <v>760</v>
      </c>
      <c r="AU5" s="794" t="s">
        <v>761</v>
      </c>
      <c r="AV5" s="794" t="s">
        <v>762</v>
      </c>
      <c r="AW5" s="794" t="s">
        <v>763</v>
      </c>
      <c r="AX5" s="794" t="s">
        <v>764</v>
      </c>
      <c r="AY5" s="794" t="s">
        <v>765</v>
      </c>
      <c r="AZ5" s="794" t="s">
        <v>766</v>
      </c>
      <c r="BA5" s="794" t="s">
        <v>767</v>
      </c>
      <c r="BB5" s="794" t="s">
        <v>768</v>
      </c>
      <c r="BC5" s="794" t="s">
        <v>769</v>
      </c>
      <c r="BD5" s="794" t="s">
        <v>770</v>
      </c>
      <c r="BE5" s="794" t="s">
        <v>771</v>
      </c>
      <c r="BF5" s="794" t="s">
        <v>772</v>
      </c>
      <c r="BG5" s="794" t="s">
        <v>773</v>
      </c>
      <c r="BH5" s="794" t="s">
        <v>774</v>
      </c>
      <c r="BI5" s="794" t="s">
        <v>775</v>
      </c>
      <c r="BJ5" s="794" t="s">
        <v>776</v>
      </c>
      <c r="BK5" s="794" t="s">
        <v>777</v>
      </c>
      <c r="BL5" s="793" t="s">
        <v>778</v>
      </c>
      <c r="BN5" s="796" t="s">
        <v>779</v>
      </c>
      <c r="BO5" s="796" t="s">
        <v>780</v>
      </c>
      <c r="BP5" s="796" t="s">
        <v>781</v>
      </c>
      <c r="BQ5" s="796" t="s">
        <v>782</v>
      </c>
      <c r="BR5" s="796" t="s">
        <v>783</v>
      </c>
      <c r="BS5" s="796" t="s">
        <v>784</v>
      </c>
      <c r="BT5" s="796" t="s">
        <v>785</v>
      </c>
      <c r="BU5" s="796" t="s">
        <v>786</v>
      </c>
      <c r="BV5" s="796" t="s">
        <v>787</v>
      </c>
      <c r="BW5" s="796" t="s">
        <v>788</v>
      </c>
      <c r="BX5" s="796" t="s">
        <v>789</v>
      </c>
      <c r="BY5" s="796" t="s">
        <v>790</v>
      </c>
      <c r="BZ5" s="796" t="s">
        <v>791</v>
      </c>
      <c r="CA5" s="796" t="s">
        <v>792</v>
      </c>
      <c r="CB5" s="797" t="s">
        <v>793</v>
      </c>
      <c r="CC5" s="796" t="s">
        <v>794</v>
      </c>
      <c r="CD5" s="796" t="s">
        <v>795</v>
      </c>
      <c r="CE5" s="796" t="s">
        <v>796</v>
      </c>
      <c r="CF5" s="796" t="s">
        <v>797</v>
      </c>
      <c r="CG5" s="796" t="s">
        <v>798</v>
      </c>
      <c r="CH5" s="796" t="s">
        <v>798</v>
      </c>
      <c r="CI5" s="796" t="s">
        <v>799</v>
      </c>
      <c r="CJ5" s="796" t="s">
        <v>800</v>
      </c>
      <c r="CK5" s="796" t="s">
        <v>801</v>
      </c>
      <c r="CL5" s="796" t="s">
        <v>802</v>
      </c>
      <c r="CM5" s="796" t="s">
        <v>803</v>
      </c>
      <c r="CN5" s="796" t="s">
        <v>804</v>
      </c>
      <c r="CO5" s="796" t="s">
        <v>805</v>
      </c>
      <c r="CP5" s="797" t="s">
        <v>806</v>
      </c>
      <c r="CQ5" s="798"/>
      <c r="CR5" s="799" t="s">
        <v>807</v>
      </c>
    </row>
    <row r="6" spans="1:96" x14ac:dyDescent="0.25">
      <c r="A6" s="45" t="s">
        <v>343</v>
      </c>
      <c r="B6" s="45">
        <v>-59317.18</v>
      </c>
      <c r="C6" s="45">
        <v>-12246.43</v>
      </c>
      <c r="D6" s="45">
        <v>188612</v>
      </c>
      <c r="E6" s="45">
        <v>22251.26</v>
      </c>
      <c r="G6" s="45">
        <v>663.44</v>
      </c>
      <c r="I6" s="45">
        <v>145483.38</v>
      </c>
      <c r="J6" s="45">
        <v>281820.46999999997</v>
      </c>
      <c r="M6" s="45">
        <v>718.91</v>
      </c>
      <c r="N6" s="45">
        <v>15113.98</v>
      </c>
      <c r="O6" s="45">
        <v>3547302</v>
      </c>
      <c r="Q6" s="45">
        <v>404023.49000000005</v>
      </c>
      <c r="R6" s="45">
        <v>1150769.1099999999</v>
      </c>
      <c r="S6" s="45">
        <v>1995681.1899999997</v>
      </c>
      <c r="T6" s="45">
        <v>505223.4800000001</v>
      </c>
      <c r="U6" s="45">
        <v>52322.169999999991</v>
      </c>
      <c r="V6" s="45">
        <v>661951.05999999994</v>
      </c>
      <c r="W6" s="45">
        <v>4698.6400000000003</v>
      </c>
      <c r="X6" s="45">
        <v>3931.63</v>
      </c>
      <c r="Y6" s="45">
        <v>27375.56</v>
      </c>
      <c r="Z6" s="45">
        <v>573811.71000000008</v>
      </c>
      <c r="AA6" s="45">
        <v>9229.32</v>
      </c>
      <c r="AB6" s="45">
        <v>33408.14</v>
      </c>
      <c r="AC6" s="45">
        <v>14202</v>
      </c>
      <c r="AD6" s="45">
        <v>1232179.06</v>
      </c>
      <c r="AE6" s="45">
        <v>104883.24999999997</v>
      </c>
      <c r="AH6" s="45">
        <v>18541.98</v>
      </c>
      <c r="AI6" s="45">
        <v>319974.65999999997</v>
      </c>
      <c r="AJ6" s="45">
        <v>798783.00000000012</v>
      </c>
      <c r="AK6" s="45">
        <v>163862.37000000005</v>
      </c>
      <c r="AN6" s="45">
        <v>241701.32999999996</v>
      </c>
      <c r="AO6" s="45">
        <v>741.01</v>
      </c>
      <c r="AP6" s="45">
        <v>41813.129999999997</v>
      </c>
      <c r="AQ6" s="45">
        <v>94391.12999999999</v>
      </c>
      <c r="AR6" s="45">
        <v>61948.989999999991</v>
      </c>
      <c r="AS6" s="45">
        <v>5655</v>
      </c>
      <c r="AT6" s="45">
        <v>9405.25</v>
      </c>
      <c r="AU6" s="45">
        <v>24488.69</v>
      </c>
      <c r="AV6" s="45">
        <v>4233.3</v>
      </c>
      <c r="AY6" s="45">
        <v>15578.52</v>
      </c>
      <c r="AZ6" s="45">
        <v>5888</v>
      </c>
      <c r="BA6" s="45">
        <v>63252.479999999996</v>
      </c>
      <c r="BC6" s="45">
        <v>18548.5</v>
      </c>
      <c r="BD6" s="45">
        <v>20725.79</v>
      </c>
      <c r="BF6" s="45">
        <v>798828.88000000012</v>
      </c>
      <c r="BG6" s="45">
        <v>122103.98000000001</v>
      </c>
      <c r="BH6" s="45">
        <v>108800</v>
      </c>
      <c r="BL6" s="2">
        <f>SUM(B6:BK6)</f>
        <v>13843357.630000006</v>
      </c>
      <c r="BN6" s="341">
        <v>2379.37</v>
      </c>
      <c r="BO6" s="341">
        <v>802973.65000000026</v>
      </c>
      <c r="BP6" s="341">
        <v>819.02</v>
      </c>
      <c r="BQ6" s="341"/>
      <c r="BR6" s="341">
        <v>90000</v>
      </c>
      <c r="BS6" s="341">
        <v>65175</v>
      </c>
      <c r="BT6" s="341"/>
      <c r="BU6" s="341"/>
      <c r="BV6" s="341"/>
      <c r="BW6" s="341"/>
      <c r="BX6" s="341"/>
      <c r="BY6" s="341">
        <v>15085.039999999999</v>
      </c>
      <c r="BZ6" s="341"/>
      <c r="CA6" s="341"/>
      <c r="CB6" s="347"/>
      <c r="CC6" s="341"/>
      <c r="CD6" s="341">
        <v>422536.88999999996</v>
      </c>
      <c r="CE6" s="341">
        <v>365540.99999999994</v>
      </c>
      <c r="CF6" s="341">
        <v>1076.5</v>
      </c>
      <c r="CG6" s="341"/>
      <c r="CH6" s="341"/>
      <c r="CI6" s="341">
        <v>79123.22</v>
      </c>
      <c r="CJ6" s="341">
        <v>818.67</v>
      </c>
      <c r="CK6" s="341"/>
      <c r="CL6" s="341"/>
      <c r="CM6" s="341"/>
      <c r="CN6" s="341"/>
      <c r="CO6" s="341"/>
      <c r="CP6" s="347">
        <v>14143</v>
      </c>
      <c r="CQ6" s="341"/>
      <c r="CR6" s="342">
        <f t="shared" ref="CR6:CR37" si="0">SUM(BN6:CP6)</f>
        <v>1859671.36</v>
      </c>
    </row>
    <row r="7" spans="1:96" x14ac:dyDescent="0.25">
      <c r="A7" s="45" t="s">
        <v>344</v>
      </c>
      <c r="B7" s="45">
        <v>-254643.42</v>
      </c>
      <c r="C7" s="45">
        <v>-32256.28</v>
      </c>
      <c r="D7" s="45">
        <v>943060</v>
      </c>
      <c r="E7" s="45">
        <v>179113.89999999997</v>
      </c>
      <c r="G7" s="45">
        <v>3847.96</v>
      </c>
      <c r="I7" s="45">
        <v>611030.18999999994</v>
      </c>
      <c r="J7" s="45">
        <v>2006926.5800000003</v>
      </c>
      <c r="L7" s="45">
        <v>168</v>
      </c>
      <c r="M7" s="45">
        <v>4936.71</v>
      </c>
      <c r="N7" s="45">
        <v>95520.34</v>
      </c>
      <c r="O7" s="45">
        <v>26189862.999999993</v>
      </c>
      <c r="P7" s="45">
        <v>195.8</v>
      </c>
      <c r="Q7" s="45">
        <v>2641699.9499999997</v>
      </c>
      <c r="R7" s="45">
        <v>8458676.2899999991</v>
      </c>
      <c r="S7" s="45">
        <v>14726841.370000001</v>
      </c>
      <c r="T7" s="45">
        <v>4840811.33</v>
      </c>
      <c r="U7" s="45">
        <v>302161.36</v>
      </c>
      <c r="V7" s="45">
        <v>2837254.3600000003</v>
      </c>
      <c r="W7" s="45">
        <v>58336.12999999999</v>
      </c>
      <c r="X7" s="45">
        <v>217655.85</v>
      </c>
      <c r="Y7" s="45">
        <v>592676.13</v>
      </c>
      <c r="Z7" s="45">
        <v>4570827.0699999994</v>
      </c>
      <c r="AA7" s="45">
        <v>102471.95999999999</v>
      </c>
      <c r="AB7" s="45">
        <v>98698.1</v>
      </c>
      <c r="AC7" s="45">
        <v>80966.39</v>
      </c>
      <c r="AD7" s="45">
        <v>7670138.790000001</v>
      </c>
      <c r="AE7" s="45">
        <v>1208735.72</v>
      </c>
      <c r="AG7" s="45">
        <v>50400</v>
      </c>
      <c r="AH7" s="45">
        <v>79220.850000000006</v>
      </c>
      <c r="AI7" s="45">
        <v>2630612.2200000002</v>
      </c>
      <c r="AJ7" s="45">
        <v>5371274</v>
      </c>
      <c r="AK7" s="45">
        <v>1101863.29</v>
      </c>
      <c r="AN7" s="45">
        <v>2228218.83</v>
      </c>
      <c r="AO7" s="45">
        <v>32851.86</v>
      </c>
      <c r="AP7" s="45">
        <v>342791.47000000003</v>
      </c>
      <c r="AQ7" s="45">
        <v>771788.73999999987</v>
      </c>
      <c r="AR7" s="45">
        <v>504226.64999999991</v>
      </c>
      <c r="AS7" s="45">
        <v>47677.75</v>
      </c>
      <c r="AT7" s="45">
        <v>75145</v>
      </c>
      <c r="AU7" s="45">
        <v>82663.720000000016</v>
      </c>
      <c r="AV7" s="45">
        <v>35303.379999999997</v>
      </c>
      <c r="AX7" s="45">
        <v>43135.55</v>
      </c>
      <c r="AZ7" s="45">
        <v>45837.5</v>
      </c>
      <c r="BA7" s="45">
        <v>1176359.9999999998</v>
      </c>
      <c r="BC7" s="45">
        <v>63671.88</v>
      </c>
      <c r="BD7" s="45">
        <v>511186.08999999997</v>
      </c>
      <c r="BE7" s="45">
        <v>1176.31</v>
      </c>
      <c r="BF7" s="45">
        <v>5508386.7799999993</v>
      </c>
      <c r="BG7" s="45">
        <v>1282091.79</v>
      </c>
      <c r="BH7" s="45">
        <v>160000</v>
      </c>
      <c r="BL7" s="2">
        <f>SUM(B7:BK7)</f>
        <v>100301597.23999999</v>
      </c>
      <c r="BN7" s="341">
        <v>5171.0199999999995</v>
      </c>
      <c r="BO7" s="341">
        <v>5510489.4699999997</v>
      </c>
      <c r="BP7" s="341">
        <v>5630.88</v>
      </c>
      <c r="BQ7" s="341"/>
      <c r="BR7" s="341">
        <v>415000</v>
      </c>
      <c r="BS7" s="341">
        <v>470250</v>
      </c>
      <c r="BT7" s="341"/>
      <c r="BU7" s="341"/>
      <c r="BV7" s="341"/>
      <c r="BW7" s="341"/>
      <c r="BX7" s="341"/>
      <c r="BY7" s="341">
        <v>217895</v>
      </c>
      <c r="BZ7" s="341"/>
      <c r="CA7" s="341"/>
      <c r="CB7" s="347"/>
      <c r="CC7" s="341"/>
      <c r="CD7" s="341">
        <v>2120100.89</v>
      </c>
      <c r="CE7" s="341">
        <v>574523.64</v>
      </c>
      <c r="CF7" s="341">
        <v>1076.5</v>
      </c>
      <c r="CG7" s="341"/>
      <c r="CH7" s="341"/>
      <c r="CI7" s="341">
        <v>491445.18999999989</v>
      </c>
      <c r="CJ7" s="341">
        <v>10369.83</v>
      </c>
      <c r="CK7" s="341"/>
      <c r="CL7" s="341"/>
      <c r="CM7" s="341">
        <v>8372.74</v>
      </c>
      <c r="CN7" s="341">
        <v>10000</v>
      </c>
      <c r="CO7" s="341"/>
      <c r="CP7" s="347">
        <v>103383</v>
      </c>
      <c r="CQ7" s="341"/>
      <c r="CR7" s="342">
        <f t="shared" si="0"/>
        <v>9943708.1600000001</v>
      </c>
    </row>
    <row r="8" spans="1:96" x14ac:dyDescent="0.25">
      <c r="A8" s="45" t="s">
        <v>345</v>
      </c>
      <c r="B8" s="45">
        <v>-20574.939999999999</v>
      </c>
      <c r="C8" s="45">
        <v>-9826.24</v>
      </c>
      <c r="D8" s="45">
        <v>141459</v>
      </c>
      <c r="E8" s="45">
        <v>8439.9700000000012</v>
      </c>
      <c r="G8" s="45">
        <v>663.44</v>
      </c>
      <c r="I8" s="45">
        <v>58193.35</v>
      </c>
      <c r="J8" s="45">
        <v>206953.87999999998</v>
      </c>
      <c r="M8" s="45">
        <v>350.32</v>
      </c>
      <c r="N8" s="45">
        <v>12091.18</v>
      </c>
      <c r="O8" s="45">
        <v>1260573</v>
      </c>
      <c r="Q8" s="45">
        <v>138034.69999999998</v>
      </c>
      <c r="R8" s="45">
        <v>416494.8899999999</v>
      </c>
      <c r="S8" s="45">
        <v>605121.04</v>
      </c>
      <c r="T8" s="45">
        <v>193682.51</v>
      </c>
      <c r="U8" s="45">
        <v>16351.34</v>
      </c>
      <c r="V8" s="45">
        <v>228463.97000000003</v>
      </c>
      <c r="W8" s="45">
        <v>3500.12</v>
      </c>
      <c r="X8" s="45">
        <v>7722.4500000000007</v>
      </c>
      <c r="Y8" s="45">
        <v>10123.02</v>
      </c>
      <c r="Z8" s="45">
        <v>96071.540000000008</v>
      </c>
      <c r="AA8" s="45">
        <v>7161.7999999999993</v>
      </c>
      <c r="AB8" s="45">
        <v>4915.47</v>
      </c>
      <c r="AD8" s="45">
        <v>497303.61999999994</v>
      </c>
      <c r="AE8" s="45">
        <v>58545.69</v>
      </c>
      <c r="AH8" s="45">
        <v>13114.44</v>
      </c>
      <c r="AI8" s="45">
        <v>171758.85</v>
      </c>
      <c r="AJ8" s="45">
        <v>316030</v>
      </c>
      <c r="AK8" s="45">
        <v>64830.400000000009</v>
      </c>
      <c r="AL8" s="45">
        <v>2600</v>
      </c>
      <c r="AN8" s="45">
        <v>135873.43</v>
      </c>
      <c r="AO8" s="45">
        <v>2470.0700000000002</v>
      </c>
      <c r="AP8" s="45">
        <v>31657.41</v>
      </c>
      <c r="AQ8" s="45">
        <v>36238.93</v>
      </c>
      <c r="AR8" s="45">
        <v>49999.999999999993</v>
      </c>
      <c r="AS8" s="45">
        <v>2072.25</v>
      </c>
      <c r="AT8" s="45">
        <v>2571.25</v>
      </c>
      <c r="AU8" s="45">
        <v>12623.38</v>
      </c>
      <c r="AV8" s="45">
        <v>1584.04</v>
      </c>
      <c r="AX8" s="45">
        <v>25000</v>
      </c>
      <c r="AY8" s="45">
        <v>6325.57</v>
      </c>
      <c r="AZ8" s="45">
        <v>1072</v>
      </c>
      <c r="BA8" s="45">
        <v>6598.58</v>
      </c>
      <c r="BC8" s="45">
        <v>15012.4</v>
      </c>
      <c r="BD8" s="45">
        <v>4724.2</v>
      </c>
      <c r="BE8" s="45">
        <v>588.17999999999995</v>
      </c>
      <c r="BF8" s="45">
        <v>372236.57</v>
      </c>
      <c r="BG8" s="45">
        <v>61051.990000000005</v>
      </c>
      <c r="BH8" s="45">
        <v>204962</v>
      </c>
      <c r="BL8" s="2">
        <f t="shared" ref="BL8:BL71" si="1">SUM(B8:BK8)</f>
        <v>5482811.0600000015</v>
      </c>
      <c r="BN8" s="341">
        <v>12086.15</v>
      </c>
      <c r="BO8" s="341">
        <v>467827.98999999993</v>
      </c>
      <c r="BP8" s="341">
        <v>417.72</v>
      </c>
      <c r="BQ8" s="341"/>
      <c r="BR8" s="341">
        <v>490000</v>
      </c>
      <c r="BS8" s="341">
        <v>30525</v>
      </c>
      <c r="BT8" s="341"/>
      <c r="BU8" s="341"/>
      <c r="BV8" s="341"/>
      <c r="BW8" s="341"/>
      <c r="BX8" s="341"/>
      <c r="BY8" s="341">
        <v>28493.96</v>
      </c>
      <c r="BZ8" s="341"/>
      <c r="CA8" s="341"/>
      <c r="CB8" s="347"/>
      <c r="CC8" s="341"/>
      <c r="CD8" s="341">
        <v>284363.84999999998</v>
      </c>
      <c r="CE8" s="341"/>
      <c r="CF8" s="341">
        <v>1076.5</v>
      </c>
      <c r="CG8" s="341"/>
      <c r="CH8" s="341"/>
      <c r="CI8" s="341"/>
      <c r="CJ8" s="341"/>
      <c r="CK8" s="341"/>
      <c r="CL8" s="341"/>
      <c r="CM8" s="341">
        <v>9623.0400000000009</v>
      </c>
      <c r="CN8" s="341"/>
      <c r="CO8" s="341">
        <v>132000</v>
      </c>
      <c r="CP8" s="347">
        <v>5026</v>
      </c>
      <c r="CQ8" s="341"/>
      <c r="CR8" s="342">
        <f t="shared" si="0"/>
        <v>1461440.21</v>
      </c>
    </row>
    <row r="9" spans="1:96" x14ac:dyDescent="0.25">
      <c r="A9" s="45" t="s">
        <v>346</v>
      </c>
      <c r="B9" s="45">
        <v>-121856.45999999999</v>
      </c>
      <c r="C9" s="45">
        <v>-16391.86</v>
      </c>
      <c r="D9" s="45">
        <v>377224</v>
      </c>
      <c r="E9" s="45">
        <v>70741.75</v>
      </c>
      <c r="F9" s="45">
        <v>4536.3599999999997</v>
      </c>
      <c r="G9" s="45">
        <v>641.33000000000004</v>
      </c>
      <c r="I9" s="45">
        <v>232773.41</v>
      </c>
      <c r="J9" s="45">
        <v>568822.71</v>
      </c>
      <c r="M9" s="45">
        <v>1337.42</v>
      </c>
      <c r="N9" s="45">
        <v>26600.6</v>
      </c>
      <c r="O9" s="45">
        <v>12255344</v>
      </c>
      <c r="P9" s="45">
        <v>385</v>
      </c>
      <c r="Q9" s="45">
        <v>1288022.6400000001</v>
      </c>
      <c r="R9" s="45">
        <v>3744577.47</v>
      </c>
      <c r="S9" s="45">
        <v>7017048.0700000003</v>
      </c>
      <c r="T9" s="45">
        <v>1666079.5699999998</v>
      </c>
      <c r="U9" s="45">
        <v>42941.56</v>
      </c>
      <c r="V9" s="45">
        <v>1414116.34</v>
      </c>
      <c r="W9" s="45">
        <v>11896.43</v>
      </c>
      <c r="X9" s="45">
        <v>108423.86999999998</v>
      </c>
      <c r="Y9" s="45">
        <v>70638.559999999998</v>
      </c>
      <c r="Z9" s="45">
        <v>2672302.0299999998</v>
      </c>
      <c r="AA9" s="45">
        <v>41372.269999999997</v>
      </c>
      <c r="AB9" s="45">
        <v>52377.7</v>
      </c>
      <c r="AC9" s="45">
        <v>27697</v>
      </c>
      <c r="AD9" s="45">
        <v>4846750.9900000012</v>
      </c>
      <c r="AE9" s="45">
        <v>504558.24000000011</v>
      </c>
      <c r="AH9" s="45">
        <v>37705.85</v>
      </c>
      <c r="AI9" s="45">
        <v>856545.25</v>
      </c>
      <c r="AJ9" s="45">
        <v>1982015.0000000002</v>
      </c>
      <c r="AK9" s="45">
        <v>406590.61000000004</v>
      </c>
      <c r="AN9" s="45">
        <v>813321.72</v>
      </c>
      <c r="AO9" s="45">
        <v>5681.15</v>
      </c>
      <c r="AP9" s="45">
        <v>140402.77000000002</v>
      </c>
      <c r="AQ9" s="45">
        <v>317357.12</v>
      </c>
      <c r="AR9" s="45">
        <v>127512.52</v>
      </c>
      <c r="AS9" s="45">
        <v>20641.25</v>
      </c>
      <c r="AT9" s="45">
        <v>12282.5</v>
      </c>
      <c r="AU9" s="45">
        <v>61059.76</v>
      </c>
      <c r="AV9" s="45">
        <v>14934.47</v>
      </c>
      <c r="AX9" s="45">
        <v>134154.16999999998</v>
      </c>
      <c r="AY9" s="45">
        <v>47480.23</v>
      </c>
      <c r="AZ9" s="45">
        <v>10800</v>
      </c>
      <c r="BA9" s="45">
        <v>643878.85000000009</v>
      </c>
      <c r="BC9" s="45">
        <v>10000</v>
      </c>
      <c r="BD9" s="45">
        <v>181528.47</v>
      </c>
      <c r="BE9" s="45">
        <v>294.08999999999997</v>
      </c>
      <c r="BF9" s="45">
        <v>2022186.7799999996</v>
      </c>
      <c r="BG9" s="45">
        <v>488415.92000000004</v>
      </c>
      <c r="BH9" s="45">
        <v>106200</v>
      </c>
      <c r="BL9" s="2">
        <f t="shared" si="1"/>
        <v>45349949.480000004</v>
      </c>
      <c r="BN9" s="341">
        <v>7229.82</v>
      </c>
      <c r="BO9" s="341">
        <v>1957988.1199999996</v>
      </c>
      <c r="BP9" s="341">
        <v>730.29</v>
      </c>
      <c r="BQ9" s="341"/>
      <c r="BR9" s="341"/>
      <c r="BS9" s="341">
        <v>171050</v>
      </c>
      <c r="BT9" s="341">
        <v>12000</v>
      </c>
      <c r="BU9" s="341"/>
      <c r="BV9" s="341"/>
      <c r="BW9" s="341"/>
      <c r="BX9" s="341"/>
      <c r="BY9" s="341">
        <v>41902.879999999997</v>
      </c>
      <c r="BZ9" s="341"/>
      <c r="CA9" s="341"/>
      <c r="CB9" s="347"/>
      <c r="CC9" s="341"/>
      <c r="CD9" s="341"/>
      <c r="CE9" s="341">
        <v>453719.76</v>
      </c>
      <c r="CF9" s="341">
        <v>10765</v>
      </c>
      <c r="CG9" s="341">
        <v>284779.26</v>
      </c>
      <c r="CH9" s="341"/>
      <c r="CI9" s="341">
        <v>306839.86000000004</v>
      </c>
      <c r="CJ9" s="341">
        <v>21560.57</v>
      </c>
      <c r="CK9" s="341"/>
      <c r="CL9" s="341"/>
      <c r="CM9" s="341"/>
      <c r="CN9" s="341"/>
      <c r="CO9" s="341"/>
      <c r="CP9" s="347">
        <v>48609</v>
      </c>
      <c r="CQ9" s="341"/>
      <c r="CR9" s="342">
        <f t="shared" si="0"/>
        <v>3317174.5599999987</v>
      </c>
    </row>
    <row r="10" spans="1:96" x14ac:dyDescent="0.25">
      <c r="A10" s="45" t="s">
        <v>347</v>
      </c>
      <c r="B10" s="45">
        <v>-53372.3</v>
      </c>
      <c r="C10" s="45">
        <v>-17889.34</v>
      </c>
      <c r="D10" s="45">
        <v>141459</v>
      </c>
      <c r="E10" s="45">
        <v>26329.08</v>
      </c>
      <c r="G10" s="45">
        <v>641.33000000000004</v>
      </c>
      <c r="I10" s="45">
        <v>116386.69999999998</v>
      </c>
      <c r="J10" s="45">
        <v>276782.40000000002</v>
      </c>
      <c r="M10" s="45">
        <v>667.71</v>
      </c>
      <c r="N10" s="45">
        <v>15113.98</v>
      </c>
      <c r="O10" s="45">
        <v>4923614</v>
      </c>
      <c r="Q10" s="45">
        <v>480912.73000000004</v>
      </c>
      <c r="R10" s="45">
        <v>1287281.6199999999</v>
      </c>
      <c r="S10" s="45">
        <v>2585441.0399999996</v>
      </c>
      <c r="T10" s="45">
        <v>287293.84999999998</v>
      </c>
      <c r="U10" s="45">
        <v>25328.969999999998</v>
      </c>
      <c r="V10" s="45">
        <v>1002478.4500000001</v>
      </c>
      <c r="W10" s="45">
        <v>1851.6</v>
      </c>
      <c r="X10" s="45">
        <v>29888.19</v>
      </c>
      <c r="Y10" s="45">
        <v>47745.11</v>
      </c>
      <c r="Z10" s="45">
        <v>904687.52</v>
      </c>
      <c r="AA10" s="45">
        <v>10849.24</v>
      </c>
      <c r="AB10" s="45">
        <v>48821.59</v>
      </c>
      <c r="AC10" s="45">
        <v>4072.16</v>
      </c>
      <c r="AD10" s="45">
        <v>2324777.3799999994</v>
      </c>
      <c r="AE10" s="45">
        <v>168332.12000000002</v>
      </c>
      <c r="AG10" s="45">
        <v>11565.519999999999</v>
      </c>
      <c r="AH10" s="45">
        <v>20465.25</v>
      </c>
      <c r="AI10" s="45">
        <v>400789.23000000004</v>
      </c>
      <c r="AJ10" s="45">
        <v>751364.99999999988</v>
      </c>
      <c r="AK10" s="45">
        <v>154135.04000000001</v>
      </c>
      <c r="AN10" s="45">
        <v>408936.24</v>
      </c>
      <c r="AO10" s="45">
        <v>2964.08</v>
      </c>
      <c r="AP10" s="45">
        <v>52459.9</v>
      </c>
      <c r="AQ10" s="45">
        <v>124022.20000000001</v>
      </c>
      <c r="AR10" s="45">
        <v>57129.619999999995</v>
      </c>
      <c r="AS10" s="45">
        <v>7671</v>
      </c>
      <c r="AT10" s="45">
        <v>7555</v>
      </c>
      <c r="AU10" s="45">
        <v>25096.789999999997</v>
      </c>
      <c r="AV10" s="45">
        <v>5599.84</v>
      </c>
      <c r="AY10" s="45">
        <v>18310.400000000001</v>
      </c>
      <c r="AZ10" s="45">
        <v>8320</v>
      </c>
      <c r="BA10" s="45">
        <v>245691.02</v>
      </c>
      <c r="BC10" s="45">
        <v>10208.85</v>
      </c>
      <c r="BD10" s="45">
        <v>16358.289999999997</v>
      </c>
      <c r="BF10" s="45">
        <v>973772.29</v>
      </c>
      <c r="BG10" s="45">
        <v>201471.57</v>
      </c>
      <c r="BH10" s="45">
        <v>60000</v>
      </c>
      <c r="BI10" s="45">
        <v>201584.49999999997</v>
      </c>
      <c r="BL10" s="2">
        <f t="shared" si="1"/>
        <v>18404965.759999994</v>
      </c>
      <c r="BN10" s="341">
        <v>7392.17</v>
      </c>
      <c r="BO10" s="341">
        <v>842357.74</v>
      </c>
      <c r="BP10" s="341">
        <v>640.79999999999995</v>
      </c>
      <c r="BQ10" s="341"/>
      <c r="BR10" s="341"/>
      <c r="BS10" s="341">
        <v>69025</v>
      </c>
      <c r="BT10" s="341"/>
      <c r="BU10" s="341"/>
      <c r="BV10" s="341"/>
      <c r="BW10" s="341"/>
      <c r="BX10" s="341">
        <v>33161</v>
      </c>
      <c r="BY10" s="341">
        <v>35198.42</v>
      </c>
      <c r="BZ10" s="341"/>
      <c r="CA10" s="341"/>
      <c r="CB10" s="347"/>
      <c r="CC10" s="341"/>
      <c r="CD10" s="341">
        <v>417225.1100000001</v>
      </c>
      <c r="CE10" s="341">
        <v>150705.5</v>
      </c>
      <c r="CF10" s="341">
        <v>1076.5</v>
      </c>
      <c r="CG10" s="341"/>
      <c r="CH10" s="341"/>
      <c r="CI10" s="341"/>
      <c r="CJ10" s="341"/>
      <c r="CK10" s="341"/>
      <c r="CL10" s="341"/>
      <c r="CM10" s="341">
        <v>12523.54</v>
      </c>
      <c r="CN10" s="341"/>
      <c r="CO10" s="341"/>
      <c r="CP10" s="347">
        <v>19421</v>
      </c>
      <c r="CQ10" s="341"/>
      <c r="CR10" s="342">
        <f t="shared" si="0"/>
        <v>1588726.7800000003</v>
      </c>
    </row>
    <row r="11" spans="1:96" x14ac:dyDescent="0.25">
      <c r="A11" s="45" t="s">
        <v>348</v>
      </c>
      <c r="B11" s="45">
        <v>-45702.939999999995</v>
      </c>
      <c r="C11" s="45">
        <v>-7342.84</v>
      </c>
      <c r="D11" s="45">
        <v>141459</v>
      </c>
      <c r="E11" s="45">
        <v>18444.22</v>
      </c>
      <c r="G11" s="45">
        <v>641.33000000000004</v>
      </c>
      <c r="I11" s="45">
        <v>87290.03</v>
      </c>
      <c r="J11" s="45">
        <v>309367.42</v>
      </c>
      <c r="M11" s="45">
        <v>531.76</v>
      </c>
      <c r="N11" s="45">
        <v>18136.77</v>
      </c>
      <c r="O11" s="45">
        <v>3280714</v>
      </c>
      <c r="Q11" s="45">
        <v>398755.89</v>
      </c>
      <c r="R11" s="45">
        <v>945028.16000000015</v>
      </c>
      <c r="S11" s="45">
        <v>1775183.4200000002</v>
      </c>
      <c r="T11" s="45">
        <v>302082.12</v>
      </c>
      <c r="U11" s="45">
        <v>2124.9700000000003</v>
      </c>
      <c r="V11" s="45">
        <v>404536.77000000008</v>
      </c>
      <c r="W11" s="45">
        <v>8775.2899999999991</v>
      </c>
      <c r="X11" s="45">
        <v>15450.339999999998</v>
      </c>
      <c r="Y11" s="45">
        <v>55583.780000000006</v>
      </c>
      <c r="Z11" s="45">
        <v>712649.3</v>
      </c>
      <c r="AA11" s="45">
        <v>45269.69000000001</v>
      </c>
      <c r="AB11" s="45">
        <v>37346.969999999994</v>
      </c>
      <c r="AC11" s="45">
        <v>22104.579999999998</v>
      </c>
      <c r="AD11" s="45">
        <v>1232491.73</v>
      </c>
      <c r="AE11" s="45">
        <v>161178.39000000001</v>
      </c>
      <c r="AH11" s="45">
        <v>17111.22</v>
      </c>
      <c r="AI11" s="45">
        <v>298426.57999999996</v>
      </c>
      <c r="AJ11" s="45">
        <v>564389</v>
      </c>
      <c r="AK11" s="45">
        <v>115778.76999999999</v>
      </c>
      <c r="AN11" s="45">
        <v>255439.99000000005</v>
      </c>
      <c r="AO11" s="45">
        <v>1976.05</v>
      </c>
      <c r="AP11" s="45">
        <v>35569.64</v>
      </c>
      <c r="AQ11" s="45">
        <v>83721.64999999998</v>
      </c>
      <c r="AR11" s="45">
        <v>81828.900000000009</v>
      </c>
      <c r="AS11" s="45">
        <v>5152.5</v>
      </c>
      <c r="AT11" s="45">
        <v>6137</v>
      </c>
      <c r="AU11" s="45">
        <v>18153.620000000003</v>
      </c>
      <c r="AV11" s="45">
        <v>3689.25</v>
      </c>
      <c r="AY11" s="45">
        <v>13284.04</v>
      </c>
      <c r="BA11" s="45">
        <v>109316.84</v>
      </c>
      <c r="BC11" s="45">
        <v>15430.1</v>
      </c>
      <c r="BD11" s="45">
        <v>21376.780000000002</v>
      </c>
      <c r="BF11" s="45">
        <v>753448.17000000016</v>
      </c>
      <c r="BG11" s="45">
        <v>181948.98</v>
      </c>
      <c r="BH11" s="45">
        <v>469780</v>
      </c>
      <c r="BL11" s="2">
        <f t="shared" si="1"/>
        <v>12974059.230000002</v>
      </c>
      <c r="BN11" s="341">
        <v>5322.0599999999995</v>
      </c>
      <c r="BO11" s="341">
        <v>634466.94000000018</v>
      </c>
      <c r="BP11" s="341">
        <v>256.36</v>
      </c>
      <c r="BQ11" s="341"/>
      <c r="BR11" s="341"/>
      <c r="BS11" s="341">
        <v>51425</v>
      </c>
      <c r="BT11" s="341"/>
      <c r="BU11" s="341"/>
      <c r="BV11" s="341"/>
      <c r="BW11" s="341"/>
      <c r="BX11" s="341"/>
      <c r="BY11" s="341">
        <v>15085.039999999999</v>
      </c>
      <c r="BZ11" s="341"/>
      <c r="CA11" s="341"/>
      <c r="CB11" s="347"/>
      <c r="CC11" s="341"/>
      <c r="CD11" s="341">
        <v>473316.14999999997</v>
      </c>
      <c r="CE11" s="341">
        <v>57716.999999999985</v>
      </c>
      <c r="CF11" s="341">
        <v>1076.5</v>
      </c>
      <c r="CG11" s="341"/>
      <c r="CH11" s="341"/>
      <c r="CI11" s="341"/>
      <c r="CJ11" s="341"/>
      <c r="CK11" s="341"/>
      <c r="CL11" s="341"/>
      <c r="CM11" s="341">
        <v>10147.5</v>
      </c>
      <c r="CN11" s="341"/>
      <c r="CO11" s="341"/>
      <c r="CP11" s="347">
        <v>12989</v>
      </c>
      <c r="CQ11" s="341"/>
      <c r="CR11" s="342">
        <f t="shared" si="0"/>
        <v>1261801.5500000003</v>
      </c>
    </row>
    <row r="12" spans="1:96" x14ac:dyDescent="0.25">
      <c r="A12" s="45" t="s">
        <v>349</v>
      </c>
      <c r="B12" s="45">
        <v>-58166.219999999994</v>
      </c>
      <c r="C12" s="45">
        <v>-12347.22</v>
      </c>
      <c r="D12" s="45">
        <v>141459</v>
      </c>
      <c r="E12" s="45">
        <v>20136.53</v>
      </c>
      <c r="G12" s="45">
        <v>663.44</v>
      </c>
      <c r="I12" s="45">
        <v>116386.69999999998</v>
      </c>
      <c r="J12" s="45">
        <v>274285.48</v>
      </c>
      <c r="M12" s="45">
        <v>289.45</v>
      </c>
      <c r="N12" s="45">
        <v>12695.74</v>
      </c>
      <c r="O12" s="45">
        <v>2769520</v>
      </c>
      <c r="P12" s="45">
        <v>55</v>
      </c>
      <c r="Q12" s="45">
        <v>283710.46000000002</v>
      </c>
      <c r="R12" s="45">
        <v>795527.99</v>
      </c>
      <c r="S12" s="45">
        <v>1514733.1700000002</v>
      </c>
      <c r="T12" s="45">
        <v>258226.24</v>
      </c>
      <c r="U12" s="45">
        <v>10039.73</v>
      </c>
      <c r="V12" s="45">
        <v>419166.57</v>
      </c>
      <c r="X12" s="45">
        <v>25195.54</v>
      </c>
      <c r="Y12" s="45">
        <v>37416.42</v>
      </c>
      <c r="Z12" s="45">
        <v>641644.32999999996</v>
      </c>
      <c r="AA12" s="45">
        <v>8195.3700000000008</v>
      </c>
      <c r="AB12" s="45">
        <v>8209.84</v>
      </c>
      <c r="AC12" s="45">
        <v>3271.7299999999996</v>
      </c>
      <c r="AD12" s="45">
        <v>1131826.7300000002</v>
      </c>
      <c r="AE12" s="45">
        <v>89315.069999999978</v>
      </c>
      <c r="AH12" s="45">
        <v>17869.509999999998</v>
      </c>
      <c r="AI12" s="45">
        <v>285087.58999999997</v>
      </c>
      <c r="AJ12" s="45">
        <v>721089.99999999988</v>
      </c>
      <c r="AK12" s="45">
        <v>147924.41999999998</v>
      </c>
      <c r="AN12" s="45">
        <v>185799.08</v>
      </c>
      <c r="AO12" s="45">
        <v>4446.12</v>
      </c>
      <c r="AP12" s="45">
        <v>40062.160000000003</v>
      </c>
      <c r="AQ12" s="45">
        <v>93349.380000000019</v>
      </c>
      <c r="AR12" s="45">
        <v>89158.36</v>
      </c>
      <c r="AS12" s="45">
        <v>5619</v>
      </c>
      <c r="AT12" s="45">
        <v>7582</v>
      </c>
      <c r="AU12" s="45">
        <v>9077.4500000000007</v>
      </c>
      <c r="AV12" s="45">
        <v>4271.04</v>
      </c>
      <c r="AY12" s="45">
        <v>13835.95</v>
      </c>
      <c r="AZ12" s="45">
        <v>5263</v>
      </c>
      <c r="BA12" s="45">
        <v>143218.45000000001</v>
      </c>
      <c r="BC12" s="45">
        <v>27543.4</v>
      </c>
      <c r="BD12" s="45">
        <v>15380.349999999997</v>
      </c>
      <c r="BE12" s="45">
        <v>294.08999999999997</v>
      </c>
      <c r="BF12" s="45">
        <v>540461.21000000008</v>
      </c>
      <c r="BG12" s="45">
        <v>244207.96</v>
      </c>
      <c r="BH12" s="45">
        <v>253705</v>
      </c>
      <c r="BL12" s="2">
        <f t="shared" si="1"/>
        <v>11346702.609999999</v>
      </c>
      <c r="BN12" s="341">
        <v>8647.4</v>
      </c>
      <c r="BO12" s="341">
        <v>761976.08000000007</v>
      </c>
      <c r="BP12" s="341">
        <v>582.68000000000006</v>
      </c>
      <c r="BQ12" s="341"/>
      <c r="BR12" s="341"/>
      <c r="BS12" s="341">
        <v>59950</v>
      </c>
      <c r="BT12" s="341"/>
      <c r="BU12" s="341"/>
      <c r="BV12" s="341"/>
      <c r="BW12" s="341"/>
      <c r="BX12" s="341"/>
      <c r="BY12" s="341">
        <v>15085.039999999999</v>
      </c>
      <c r="BZ12" s="341"/>
      <c r="CA12" s="341"/>
      <c r="CB12" s="347"/>
      <c r="CC12" s="341"/>
      <c r="CD12" s="341"/>
      <c r="CE12" s="341">
        <v>182770.50000000003</v>
      </c>
      <c r="CF12" s="341">
        <v>1076.5</v>
      </c>
      <c r="CG12" s="341">
        <v>104528.79999999999</v>
      </c>
      <c r="CH12" s="341"/>
      <c r="CI12" s="341"/>
      <c r="CJ12" s="341"/>
      <c r="CK12" s="341"/>
      <c r="CL12" s="341"/>
      <c r="CM12" s="341"/>
      <c r="CN12" s="341"/>
      <c r="CO12" s="341"/>
      <c r="CP12" s="347">
        <v>10925</v>
      </c>
      <c r="CQ12" s="341"/>
      <c r="CR12" s="342">
        <f t="shared" si="0"/>
        <v>1145542.0000000002</v>
      </c>
    </row>
    <row r="13" spans="1:96" x14ac:dyDescent="0.25">
      <c r="A13" s="45" t="s">
        <v>350</v>
      </c>
      <c r="B13" s="45">
        <v>-227234.75</v>
      </c>
      <c r="C13" s="45">
        <v>-33078.400000000001</v>
      </c>
      <c r="D13" s="45">
        <v>518683.00000000006</v>
      </c>
      <c r="E13" s="45">
        <v>96425.769999999975</v>
      </c>
      <c r="G13" s="45">
        <v>2565.31</v>
      </c>
      <c r="I13" s="45">
        <v>320063.43</v>
      </c>
      <c r="J13" s="45">
        <v>981506.7</v>
      </c>
      <c r="L13" s="45">
        <v>1704</v>
      </c>
      <c r="M13" s="45">
        <v>3210.07</v>
      </c>
      <c r="N13" s="45">
        <v>50178.41</v>
      </c>
      <c r="O13" s="45">
        <v>14655804.000000002</v>
      </c>
      <c r="P13" s="45">
        <v>440.87</v>
      </c>
      <c r="Q13" s="45">
        <v>1645402.52</v>
      </c>
      <c r="R13" s="45">
        <v>4664067.1800000006</v>
      </c>
      <c r="S13" s="45">
        <v>8357651.2699999996</v>
      </c>
      <c r="T13" s="45">
        <v>4401337.63</v>
      </c>
      <c r="U13" s="45">
        <v>85376.25999999998</v>
      </c>
      <c r="V13" s="45">
        <v>2026455.6100000003</v>
      </c>
      <c r="X13" s="45">
        <v>234421.67000000004</v>
      </c>
      <c r="Y13" s="45">
        <v>277779.31</v>
      </c>
      <c r="Z13" s="45">
        <v>2599760.87</v>
      </c>
      <c r="AA13" s="45">
        <v>89619.609999999986</v>
      </c>
      <c r="AB13" s="45">
        <v>51033.39</v>
      </c>
      <c r="AC13" s="45">
        <v>62707.330000000009</v>
      </c>
      <c r="AD13" s="45">
        <v>1982079.56</v>
      </c>
      <c r="AE13" s="45">
        <v>848972.32999999984</v>
      </c>
      <c r="AG13" s="45">
        <v>12599.999999999998</v>
      </c>
      <c r="AH13" s="45">
        <v>47159.8</v>
      </c>
      <c r="AI13" s="45">
        <v>1391728.05</v>
      </c>
      <c r="AJ13" s="45">
        <v>3078009.9999999995</v>
      </c>
      <c r="AK13" s="45">
        <v>631423.04999999993</v>
      </c>
      <c r="AL13" s="45">
        <v>1563.12</v>
      </c>
      <c r="AN13" s="45">
        <v>1154606.8899999999</v>
      </c>
      <c r="AO13" s="45">
        <v>18278.48</v>
      </c>
      <c r="AP13" s="45">
        <v>182299.4</v>
      </c>
      <c r="AQ13" s="45">
        <v>410991.6399999999</v>
      </c>
      <c r="AR13" s="45">
        <v>389766.6</v>
      </c>
      <c r="AS13" s="45">
        <v>24896.5</v>
      </c>
      <c r="AT13" s="45">
        <v>35060</v>
      </c>
      <c r="AU13" s="45">
        <v>64951.59</v>
      </c>
      <c r="AV13" s="45">
        <v>18563.22</v>
      </c>
      <c r="AX13" s="45">
        <v>35355.26</v>
      </c>
      <c r="AY13" s="45">
        <v>65970.97</v>
      </c>
      <c r="AZ13" s="45">
        <v>22572</v>
      </c>
      <c r="BA13" s="45">
        <v>785491.76999999979</v>
      </c>
      <c r="BC13" s="45">
        <v>86832</v>
      </c>
      <c r="BD13" s="45">
        <v>239193.09</v>
      </c>
      <c r="BE13" s="45">
        <v>1176.3599999999999</v>
      </c>
      <c r="BF13" s="45">
        <v>3096968.67</v>
      </c>
      <c r="BG13" s="45">
        <v>610519.9</v>
      </c>
      <c r="BH13" s="45">
        <v>84750</v>
      </c>
      <c r="BI13" s="45">
        <v>131811.57999999999</v>
      </c>
      <c r="BL13" s="2">
        <f t="shared" si="1"/>
        <v>56319472.889999993</v>
      </c>
      <c r="BN13" s="341">
        <v>27876.79</v>
      </c>
      <c r="BO13" s="341">
        <v>3042882.8199999994</v>
      </c>
      <c r="BP13" s="341">
        <v>2243.06</v>
      </c>
      <c r="BQ13" s="341"/>
      <c r="BR13" s="341"/>
      <c r="BS13" s="341">
        <v>258225</v>
      </c>
      <c r="BT13" s="341"/>
      <c r="BU13" s="341">
        <v>8972.77</v>
      </c>
      <c r="BV13" s="341"/>
      <c r="BW13" s="341"/>
      <c r="BX13" s="341"/>
      <c r="BY13" s="341">
        <v>105595.27</v>
      </c>
      <c r="BZ13" s="341"/>
      <c r="CA13" s="341">
        <v>10000</v>
      </c>
      <c r="CB13" s="347"/>
      <c r="CC13" s="341"/>
      <c r="CD13" s="341">
        <v>1773833.11</v>
      </c>
      <c r="CE13" s="341">
        <v>584220.80999999994</v>
      </c>
      <c r="CF13" s="341">
        <v>1076.5</v>
      </c>
      <c r="CG13" s="341"/>
      <c r="CH13" s="341"/>
      <c r="CI13" s="341">
        <v>342733.74999999994</v>
      </c>
      <c r="CJ13" s="341">
        <v>8082.75</v>
      </c>
      <c r="CK13" s="341"/>
      <c r="CL13" s="341"/>
      <c r="CM13" s="341"/>
      <c r="CN13" s="341"/>
      <c r="CO13" s="341"/>
      <c r="CP13" s="347">
        <v>58315</v>
      </c>
      <c r="CQ13" s="341"/>
      <c r="CR13" s="342">
        <f t="shared" si="0"/>
        <v>6224057.629999999</v>
      </c>
    </row>
    <row r="14" spans="1:96" x14ac:dyDescent="0.25">
      <c r="A14" s="45" t="s">
        <v>351</v>
      </c>
      <c r="B14" s="45">
        <v>-34652.660000000003</v>
      </c>
      <c r="C14" s="45">
        <v>-38085.050000000003</v>
      </c>
      <c r="D14" s="45">
        <v>141459</v>
      </c>
      <c r="E14" s="45">
        <v>9162.1299999999992</v>
      </c>
      <c r="G14" s="45">
        <v>663.44</v>
      </c>
      <c r="I14" s="45">
        <v>29096.68</v>
      </c>
      <c r="J14" s="45">
        <v>148960.76</v>
      </c>
      <c r="L14" s="45">
        <v>16</v>
      </c>
      <c r="N14" s="45">
        <v>9068.39</v>
      </c>
      <c r="O14" s="45">
        <v>1680457</v>
      </c>
      <c r="Q14" s="45">
        <v>155950.99</v>
      </c>
      <c r="R14" s="45">
        <v>492604.03</v>
      </c>
      <c r="S14" s="45">
        <v>959320.76</v>
      </c>
      <c r="T14" s="45">
        <v>355606.76</v>
      </c>
      <c r="U14" s="45">
        <v>19805.04</v>
      </c>
      <c r="V14" s="45">
        <v>326577.19999999995</v>
      </c>
      <c r="W14" s="45">
        <v>4408.58</v>
      </c>
      <c r="X14" s="45">
        <v>463.12</v>
      </c>
      <c r="Y14" s="45">
        <v>20579.539999999997</v>
      </c>
      <c r="Z14" s="45">
        <v>243809.79000000004</v>
      </c>
      <c r="AA14" s="45">
        <v>5497.86</v>
      </c>
      <c r="AB14" s="45">
        <v>8022.1699999999983</v>
      </c>
      <c r="AC14" s="45">
        <v>10944.13</v>
      </c>
      <c r="AD14" s="45">
        <v>463339.15</v>
      </c>
      <c r="AE14" s="45">
        <v>40688.450000000004</v>
      </c>
      <c r="AH14" s="45">
        <v>13683.06</v>
      </c>
      <c r="AI14" s="45">
        <v>177043.64</v>
      </c>
      <c r="AJ14" s="45">
        <v>345099.99999999994</v>
      </c>
      <c r="AK14" s="45">
        <v>70793.820000000007</v>
      </c>
      <c r="AN14" s="45">
        <v>160700.11000000002</v>
      </c>
      <c r="AO14" s="45">
        <v>1235.03</v>
      </c>
      <c r="AP14" s="45">
        <v>27006.27</v>
      </c>
      <c r="AQ14" s="45">
        <v>42957.18</v>
      </c>
      <c r="AR14" s="45">
        <v>49999.999999999993</v>
      </c>
      <c r="AS14" s="45">
        <v>2554</v>
      </c>
      <c r="AT14" s="45">
        <v>2779.5</v>
      </c>
      <c r="AU14" s="45">
        <v>22504.86</v>
      </c>
      <c r="AV14" s="45">
        <v>2074.3200000000002</v>
      </c>
      <c r="AX14" s="45">
        <v>8503.7999999999993</v>
      </c>
      <c r="AY14" s="45">
        <v>6681.91</v>
      </c>
      <c r="AZ14" s="45">
        <v>2976</v>
      </c>
      <c r="BA14" s="45">
        <v>28858.419999999991</v>
      </c>
      <c r="BC14" s="45">
        <v>10417.700000000001</v>
      </c>
      <c r="BD14" s="45">
        <v>6973.9400000000014</v>
      </c>
      <c r="BF14" s="45">
        <v>423142.73000000004</v>
      </c>
      <c r="BG14" s="45">
        <v>61051.99</v>
      </c>
      <c r="BH14" s="45">
        <v>60000</v>
      </c>
      <c r="BI14" s="45">
        <v>78738.239999999991</v>
      </c>
      <c r="BL14" s="2">
        <f t="shared" si="1"/>
        <v>6659539.7800000021</v>
      </c>
      <c r="BN14" s="341">
        <v>3515.3</v>
      </c>
      <c r="BO14" s="341">
        <v>422056.28999999992</v>
      </c>
      <c r="BP14" s="341">
        <v>514.66999999999996</v>
      </c>
      <c r="BQ14" s="341"/>
      <c r="BR14" s="341"/>
      <c r="BS14" s="341">
        <v>28325</v>
      </c>
      <c r="BT14" s="341"/>
      <c r="BU14" s="341">
        <v>8706.74</v>
      </c>
      <c r="BV14" s="341"/>
      <c r="BW14" s="341"/>
      <c r="BX14" s="341"/>
      <c r="BY14" s="341">
        <v>10056.69</v>
      </c>
      <c r="BZ14" s="341"/>
      <c r="CA14" s="341"/>
      <c r="CB14" s="347"/>
      <c r="CC14" s="341"/>
      <c r="CD14" s="341">
        <v>89398.22</v>
      </c>
      <c r="CE14" s="341">
        <v>86270.860000000015</v>
      </c>
      <c r="CF14" s="341"/>
      <c r="CG14" s="341"/>
      <c r="CH14" s="341"/>
      <c r="CI14" s="341">
        <v>352042.47000000003</v>
      </c>
      <c r="CJ14" s="341">
        <v>9128.83</v>
      </c>
      <c r="CK14" s="341"/>
      <c r="CL14" s="341"/>
      <c r="CM14" s="341"/>
      <c r="CN14" s="341"/>
      <c r="CO14" s="341">
        <v>40000</v>
      </c>
      <c r="CP14" s="347">
        <v>6694</v>
      </c>
      <c r="CQ14" s="341"/>
      <c r="CR14" s="342">
        <f t="shared" si="0"/>
        <v>1056709.0699999998</v>
      </c>
    </row>
    <row r="15" spans="1:96" x14ac:dyDescent="0.25">
      <c r="A15" s="45" t="s">
        <v>352</v>
      </c>
      <c r="B15" s="45">
        <v>-25753.83</v>
      </c>
      <c r="C15" s="45">
        <v>-8607.76</v>
      </c>
      <c r="D15" s="45">
        <v>94306</v>
      </c>
      <c r="E15" s="45">
        <v>5022.37</v>
      </c>
      <c r="G15" s="45">
        <v>663.44</v>
      </c>
      <c r="I15" s="45">
        <v>29096.68</v>
      </c>
      <c r="J15" s="45">
        <v>91343.210000000021</v>
      </c>
      <c r="N15" s="45">
        <v>7254.71</v>
      </c>
      <c r="O15" s="45">
        <v>857811</v>
      </c>
      <c r="Q15" s="45">
        <v>85821.62000000001</v>
      </c>
      <c r="R15" s="45">
        <v>284232.71000000002</v>
      </c>
      <c r="S15" s="45">
        <v>362912.45999999996</v>
      </c>
      <c r="T15" s="45">
        <v>70832.439999999988</v>
      </c>
      <c r="V15" s="45">
        <v>177703.13</v>
      </c>
      <c r="X15" s="45">
        <v>10290.160000000002</v>
      </c>
      <c r="Y15" s="45">
        <v>30279.359999999993</v>
      </c>
      <c r="Z15" s="45">
        <v>195421.27000000002</v>
      </c>
      <c r="AB15" s="45">
        <v>5156.92</v>
      </c>
      <c r="AC15" s="45">
        <v>9915.4800000000014</v>
      </c>
      <c r="AD15" s="45">
        <v>277041.68</v>
      </c>
      <c r="AE15" s="45">
        <v>53274.82</v>
      </c>
      <c r="AH15" s="45">
        <v>11931.82</v>
      </c>
      <c r="AI15" s="45">
        <v>96377.76</v>
      </c>
      <c r="AJ15" s="45">
        <v>195350</v>
      </c>
      <c r="AK15" s="45">
        <v>40074.1</v>
      </c>
      <c r="AN15" s="45">
        <v>72698.559999999998</v>
      </c>
      <c r="AO15" s="45">
        <v>1729.05</v>
      </c>
      <c r="AP15" s="45">
        <v>18345.54</v>
      </c>
      <c r="AQ15" s="45">
        <v>22273.409999999996</v>
      </c>
      <c r="AR15" s="45">
        <v>49999.999999999993</v>
      </c>
      <c r="AS15" s="45">
        <v>1017.25</v>
      </c>
      <c r="AT15" s="45">
        <v>2355</v>
      </c>
      <c r="AU15" s="45">
        <v>10695.1</v>
      </c>
      <c r="AV15" s="45">
        <v>903.05</v>
      </c>
      <c r="AX15" s="45">
        <v>25000</v>
      </c>
      <c r="AY15" s="45">
        <v>3716.57</v>
      </c>
      <c r="AZ15" s="45">
        <v>1008</v>
      </c>
      <c r="BA15" s="45">
        <v>4213.829999999999</v>
      </c>
      <c r="BC15" s="45">
        <v>10000</v>
      </c>
      <c r="BD15" s="45">
        <v>1230.56</v>
      </c>
      <c r="BE15" s="45">
        <v>588.17999999999995</v>
      </c>
      <c r="BF15" s="45">
        <v>239245.08000000002</v>
      </c>
      <c r="BG15" s="45">
        <v>61051.990000000005</v>
      </c>
      <c r="BH15" s="45">
        <v>60000</v>
      </c>
      <c r="BL15" s="2">
        <f t="shared" si="1"/>
        <v>3543822.72</v>
      </c>
      <c r="BN15" s="341">
        <v>484.9</v>
      </c>
      <c r="BO15" s="341">
        <v>198878.67</v>
      </c>
      <c r="BP15" s="341">
        <v>370.40999999999997</v>
      </c>
      <c r="BQ15" s="341"/>
      <c r="BR15" s="341"/>
      <c r="BS15" s="341">
        <v>16500</v>
      </c>
      <c r="BT15" s="341"/>
      <c r="BU15" s="341"/>
      <c r="BV15" s="341"/>
      <c r="BW15" s="341"/>
      <c r="BX15" s="341"/>
      <c r="BY15" s="341">
        <v>3352.23</v>
      </c>
      <c r="BZ15" s="341"/>
      <c r="CA15" s="341"/>
      <c r="CB15" s="347"/>
      <c r="CC15" s="341"/>
      <c r="CD15" s="341">
        <v>146491.47999999998</v>
      </c>
      <c r="CE15" s="341"/>
      <c r="CF15" s="341">
        <v>1076.5</v>
      </c>
      <c r="CG15" s="341"/>
      <c r="CH15" s="341"/>
      <c r="CI15" s="341"/>
      <c r="CJ15" s="341"/>
      <c r="CK15" s="341"/>
      <c r="CL15" s="341"/>
      <c r="CM15" s="341">
        <v>9623.0400000000009</v>
      </c>
      <c r="CN15" s="341"/>
      <c r="CO15" s="341">
        <v>80000</v>
      </c>
      <c r="CP15" s="347">
        <v>3376</v>
      </c>
      <c r="CQ15" s="341"/>
      <c r="CR15" s="342">
        <f t="shared" si="0"/>
        <v>460153.23</v>
      </c>
    </row>
    <row r="16" spans="1:96" x14ac:dyDescent="0.25">
      <c r="A16" s="45" t="s">
        <v>14</v>
      </c>
      <c r="B16" s="45">
        <v>-8949.3499999999985</v>
      </c>
      <c r="C16" s="45">
        <v>-687.47</v>
      </c>
      <c r="D16" s="45">
        <v>94306</v>
      </c>
      <c r="E16" s="45">
        <v>4168.3</v>
      </c>
      <c r="G16" s="45">
        <v>663.44</v>
      </c>
      <c r="I16" s="45">
        <v>29096.68</v>
      </c>
      <c r="J16" s="45">
        <v>57167.42</v>
      </c>
      <c r="M16" s="45">
        <v>135.1</v>
      </c>
      <c r="N16" s="45">
        <v>4231.91</v>
      </c>
      <c r="O16" s="45">
        <v>766114.00000000012</v>
      </c>
      <c r="P16" s="45">
        <v>110</v>
      </c>
      <c r="Q16" s="45">
        <v>93727.180000000008</v>
      </c>
      <c r="R16" s="45">
        <v>229727.90999999997</v>
      </c>
      <c r="S16" s="45">
        <v>380952.82</v>
      </c>
      <c r="T16" s="45">
        <v>76063.69</v>
      </c>
      <c r="U16" s="45">
        <v>4193.9799999999996</v>
      </c>
      <c r="V16" s="45">
        <v>90673.98</v>
      </c>
      <c r="W16" s="45">
        <v>3552.1</v>
      </c>
      <c r="X16" s="45">
        <v>1270.6400000000001</v>
      </c>
      <c r="Y16" s="45">
        <v>16434.02</v>
      </c>
      <c r="Z16" s="45">
        <v>179339.81</v>
      </c>
      <c r="AC16" s="45">
        <v>2090.4</v>
      </c>
      <c r="AD16" s="45">
        <v>320668.27</v>
      </c>
      <c r="AE16" s="45">
        <v>12479.199999999997</v>
      </c>
      <c r="AH16" s="45">
        <v>11643.09</v>
      </c>
      <c r="AI16" s="45">
        <v>89166.16</v>
      </c>
      <c r="AJ16" s="45">
        <v>102954.99999999997</v>
      </c>
      <c r="AK16" s="45">
        <v>21120.19</v>
      </c>
      <c r="AN16" s="45">
        <v>73030.969999999987</v>
      </c>
      <c r="AO16" s="45">
        <v>494.01</v>
      </c>
      <c r="AP16" s="45">
        <v>16982.54</v>
      </c>
      <c r="AQ16" s="45">
        <v>20047.210000000003</v>
      </c>
      <c r="AR16" s="45">
        <v>49999.999999999993</v>
      </c>
      <c r="AS16" s="45">
        <v>1267.25</v>
      </c>
      <c r="AT16" s="45">
        <v>3450</v>
      </c>
      <c r="AU16" s="45">
        <v>9303.0499999999993</v>
      </c>
      <c r="AV16" s="45">
        <v>923.37</v>
      </c>
      <c r="AY16" s="45">
        <v>3563.84</v>
      </c>
      <c r="BA16" s="45">
        <v>7376.869999999999</v>
      </c>
      <c r="BC16" s="45">
        <v>10000</v>
      </c>
      <c r="BD16" s="45">
        <v>6557.2099999999991</v>
      </c>
      <c r="BF16" s="45">
        <v>229891.84000000003</v>
      </c>
      <c r="BG16" s="45">
        <v>61051.990000000005</v>
      </c>
      <c r="BH16" s="45">
        <v>139908</v>
      </c>
      <c r="BL16" s="2">
        <f t="shared" si="1"/>
        <v>3216262.62</v>
      </c>
      <c r="BN16" s="341"/>
      <c r="BO16" s="341">
        <v>205792.91</v>
      </c>
      <c r="BP16" s="341">
        <v>192.39000000000001</v>
      </c>
      <c r="BQ16" s="341"/>
      <c r="BR16" s="341"/>
      <c r="BS16" s="341">
        <v>9625</v>
      </c>
      <c r="BT16" s="341"/>
      <c r="BU16" s="341"/>
      <c r="BV16" s="341"/>
      <c r="BW16" s="341"/>
      <c r="BX16" s="341"/>
      <c r="BY16" s="341">
        <v>13408.92</v>
      </c>
      <c r="BZ16" s="341"/>
      <c r="CA16" s="341"/>
      <c r="CB16" s="347"/>
      <c r="CC16" s="341"/>
      <c r="CD16" s="341">
        <v>82983.999999999985</v>
      </c>
      <c r="CE16" s="341"/>
      <c r="CF16" s="341">
        <v>1076.5</v>
      </c>
      <c r="CG16" s="341"/>
      <c r="CH16" s="341"/>
      <c r="CI16" s="341"/>
      <c r="CJ16" s="341"/>
      <c r="CK16" s="341"/>
      <c r="CL16" s="341"/>
      <c r="CM16" s="341">
        <v>1804.32</v>
      </c>
      <c r="CN16" s="341"/>
      <c r="CO16" s="341">
        <v>40000</v>
      </c>
      <c r="CP16" s="347">
        <v>3101</v>
      </c>
      <c r="CQ16" s="341"/>
      <c r="CR16" s="342">
        <f t="shared" si="0"/>
        <v>357985.04000000004</v>
      </c>
    </row>
    <row r="17" spans="1:96" x14ac:dyDescent="0.25">
      <c r="A17" s="45" t="s">
        <v>15</v>
      </c>
      <c r="B17" s="45">
        <v>-8367.5499999999993</v>
      </c>
      <c r="C17" s="45">
        <v>-550.02</v>
      </c>
      <c r="D17" s="45">
        <v>141459</v>
      </c>
      <c r="E17" s="45">
        <v>6367.6900000000005</v>
      </c>
      <c r="G17" s="45">
        <v>663.44</v>
      </c>
      <c r="H17" s="45">
        <v>621.25</v>
      </c>
      <c r="I17" s="45">
        <v>29096.68</v>
      </c>
      <c r="J17" s="45">
        <v>69534.640000000014</v>
      </c>
      <c r="M17" s="45">
        <v>235.37</v>
      </c>
      <c r="N17" s="45">
        <v>4836.47</v>
      </c>
      <c r="O17" s="45">
        <v>1088668</v>
      </c>
      <c r="Q17" s="45">
        <v>107188.26999999999</v>
      </c>
      <c r="R17" s="45">
        <v>344470.41</v>
      </c>
      <c r="S17" s="45">
        <v>591508.61</v>
      </c>
      <c r="T17" s="45">
        <v>106487.29000000001</v>
      </c>
      <c r="U17" s="45">
        <v>5298.59</v>
      </c>
      <c r="V17" s="45">
        <v>148814.19</v>
      </c>
      <c r="W17" s="45">
        <v>144.32</v>
      </c>
      <c r="X17" s="45">
        <v>8808.1</v>
      </c>
      <c r="Y17" s="45">
        <v>10865.21</v>
      </c>
      <c r="Z17" s="45">
        <v>171616.68999999997</v>
      </c>
      <c r="AA17" s="45">
        <v>8032.3100000000013</v>
      </c>
      <c r="AB17" s="45">
        <v>5731.5499999999993</v>
      </c>
      <c r="AC17" s="45">
        <v>4865.22</v>
      </c>
      <c r="AD17" s="45">
        <v>413269.66000000009</v>
      </c>
      <c r="AE17" s="45">
        <v>64531.51</v>
      </c>
      <c r="AH17" s="45">
        <v>12508.21</v>
      </c>
      <c r="AI17" s="45">
        <v>115001.54000000001</v>
      </c>
      <c r="AJ17" s="45">
        <v>210350</v>
      </c>
      <c r="AK17" s="45">
        <v>43151.200000000004</v>
      </c>
      <c r="AN17" s="45">
        <v>108177.89</v>
      </c>
      <c r="AO17" s="45">
        <v>2223.06</v>
      </c>
      <c r="AP17" s="45">
        <v>17942</v>
      </c>
      <c r="AQ17" s="45">
        <v>29344.5</v>
      </c>
      <c r="AR17" s="45">
        <v>49999.999999999993</v>
      </c>
      <c r="AS17" s="45">
        <v>1683.25</v>
      </c>
      <c r="AT17" s="45">
        <v>3545</v>
      </c>
      <c r="AU17" s="45">
        <v>23606.570000000003</v>
      </c>
      <c r="AV17" s="45">
        <v>1328.98</v>
      </c>
      <c r="AY17" s="45">
        <v>4856.1899999999996</v>
      </c>
      <c r="AZ17" s="45">
        <v>2206</v>
      </c>
      <c r="BA17" s="45">
        <v>25812.600000000006</v>
      </c>
      <c r="BC17" s="45">
        <v>10000</v>
      </c>
      <c r="BD17" s="45">
        <v>3876.0099999999998</v>
      </c>
      <c r="BF17" s="45">
        <v>258827</v>
      </c>
      <c r="BG17" s="45">
        <v>61051.99</v>
      </c>
      <c r="BH17" s="45">
        <v>143000</v>
      </c>
      <c r="BL17" s="2">
        <f t="shared" si="1"/>
        <v>4452688.8899999997</v>
      </c>
      <c r="BN17" s="341"/>
      <c r="BO17" s="341">
        <v>257345.43</v>
      </c>
      <c r="BP17" s="341">
        <v>207.17000000000002</v>
      </c>
      <c r="BQ17" s="341"/>
      <c r="BR17" s="341">
        <v>315750</v>
      </c>
      <c r="BS17" s="341">
        <v>18150</v>
      </c>
      <c r="BT17" s="341"/>
      <c r="BU17" s="341"/>
      <c r="BV17" s="341"/>
      <c r="BW17" s="341"/>
      <c r="BX17" s="341"/>
      <c r="BY17" s="341">
        <v>5028.3500000000004</v>
      </c>
      <c r="BZ17" s="341"/>
      <c r="CA17" s="341"/>
      <c r="CB17" s="347"/>
      <c r="CC17" s="341"/>
      <c r="CD17" s="341">
        <v>90200</v>
      </c>
      <c r="CE17" s="341">
        <v>19239</v>
      </c>
      <c r="CF17" s="341">
        <v>1076.5</v>
      </c>
      <c r="CG17" s="341"/>
      <c r="CH17" s="341"/>
      <c r="CI17" s="341"/>
      <c r="CJ17" s="341"/>
      <c r="CK17" s="341"/>
      <c r="CL17" s="341"/>
      <c r="CM17" s="341">
        <v>3266.6800000000003</v>
      </c>
      <c r="CN17" s="341"/>
      <c r="CO17" s="341"/>
      <c r="CP17" s="347">
        <v>4305</v>
      </c>
      <c r="CQ17" s="341"/>
      <c r="CR17" s="342">
        <f t="shared" si="0"/>
        <v>714568.13</v>
      </c>
    </row>
    <row r="18" spans="1:96" x14ac:dyDescent="0.25">
      <c r="A18" s="45" t="s">
        <v>16</v>
      </c>
      <c r="B18" s="45">
        <v>-64462.05999999999</v>
      </c>
      <c r="C18" s="45">
        <v>-9693.6299999999992</v>
      </c>
      <c r="D18" s="45">
        <v>188612</v>
      </c>
      <c r="E18" s="45">
        <v>15860.039999999999</v>
      </c>
      <c r="G18" s="45">
        <v>663.44</v>
      </c>
      <c r="I18" s="45">
        <v>58193.35</v>
      </c>
      <c r="J18" s="45">
        <v>219112.90000000002</v>
      </c>
      <c r="M18" s="45">
        <v>1186.4100000000001</v>
      </c>
      <c r="N18" s="45">
        <v>13904.86</v>
      </c>
      <c r="O18" s="45">
        <v>2878417.9999999995</v>
      </c>
      <c r="Q18" s="45">
        <v>292578.27</v>
      </c>
      <c r="R18" s="45">
        <v>834946.44</v>
      </c>
      <c r="S18" s="45">
        <v>1497816.8099999998</v>
      </c>
      <c r="T18" s="45">
        <v>378643.19</v>
      </c>
      <c r="U18" s="45">
        <v>51957.320000000007</v>
      </c>
      <c r="V18" s="45">
        <v>689814.02999999991</v>
      </c>
      <c r="X18" s="45">
        <v>6776.54</v>
      </c>
      <c r="Y18" s="45">
        <v>61083.81</v>
      </c>
      <c r="Z18" s="45">
        <v>401438.18999999994</v>
      </c>
      <c r="AA18" s="45">
        <v>16364.009999999998</v>
      </c>
      <c r="AB18" s="45">
        <v>7262.6900000000005</v>
      </c>
      <c r="AC18" s="45">
        <v>17319.11</v>
      </c>
      <c r="AD18" s="45">
        <v>991412.67</v>
      </c>
      <c r="AE18" s="45">
        <v>106419.11</v>
      </c>
      <c r="AH18" s="45">
        <v>16087.5</v>
      </c>
      <c r="AI18" s="45">
        <v>275286.25</v>
      </c>
      <c r="AJ18" s="45">
        <v>528440</v>
      </c>
      <c r="AK18" s="45">
        <v>108404.20000000003</v>
      </c>
      <c r="AN18" s="45">
        <v>257833.94</v>
      </c>
      <c r="AO18" s="45">
        <v>2470.0700000000002</v>
      </c>
      <c r="AP18" s="45">
        <v>43316.19</v>
      </c>
      <c r="AQ18" s="45">
        <v>71715.829999999987</v>
      </c>
      <c r="AR18" s="45">
        <v>100000.00000000001</v>
      </c>
      <c r="AS18" s="45">
        <v>4729.5</v>
      </c>
      <c r="AT18" s="45">
        <v>2966.5</v>
      </c>
      <c r="AU18" s="45">
        <v>20248.070000000003</v>
      </c>
      <c r="AV18" s="45">
        <v>3119.95</v>
      </c>
      <c r="AX18" s="45">
        <v>8914.8799999999992</v>
      </c>
      <c r="AZ18" s="45">
        <v>912</v>
      </c>
      <c r="BA18" s="45">
        <v>59003.819999999992</v>
      </c>
      <c r="BC18" s="45">
        <v>33784.1</v>
      </c>
      <c r="BD18" s="45">
        <v>23919.889999999992</v>
      </c>
      <c r="BF18" s="45">
        <v>688667.92</v>
      </c>
      <c r="BG18" s="45">
        <v>122103.98000000001</v>
      </c>
      <c r="BH18" s="45">
        <v>76155</v>
      </c>
      <c r="BI18" s="45">
        <v>60640</v>
      </c>
      <c r="BL18" s="2">
        <f t="shared" si="1"/>
        <v>11164347.09</v>
      </c>
      <c r="BN18" s="341">
        <v>9131.25</v>
      </c>
      <c r="BO18" s="341">
        <v>616496.99999999988</v>
      </c>
      <c r="BP18" s="341">
        <v>711.51</v>
      </c>
      <c r="BQ18" s="341"/>
      <c r="BR18" s="341">
        <v>225250</v>
      </c>
      <c r="BS18" s="341">
        <v>47025</v>
      </c>
      <c r="BT18" s="341">
        <v>30000</v>
      </c>
      <c r="BU18" s="341"/>
      <c r="BV18" s="341">
        <v>5000</v>
      </c>
      <c r="BW18" s="341"/>
      <c r="BX18" s="341"/>
      <c r="BY18" s="341">
        <v>11732.810000000001</v>
      </c>
      <c r="BZ18" s="341"/>
      <c r="CA18" s="341"/>
      <c r="CB18" s="347"/>
      <c r="CC18" s="341"/>
      <c r="CD18" s="341">
        <v>175889.99999999997</v>
      </c>
      <c r="CE18" s="341">
        <v>64129.999999999985</v>
      </c>
      <c r="CF18" s="341">
        <v>1076.5</v>
      </c>
      <c r="CG18" s="341"/>
      <c r="CH18" s="341"/>
      <c r="CI18" s="341"/>
      <c r="CJ18" s="341"/>
      <c r="CK18" s="341"/>
      <c r="CL18" s="341"/>
      <c r="CM18" s="341"/>
      <c r="CN18" s="341"/>
      <c r="CO18" s="341"/>
      <c r="CP18" s="347">
        <v>11431</v>
      </c>
      <c r="CQ18" s="341"/>
      <c r="CR18" s="342">
        <f t="shared" si="0"/>
        <v>1197875.0699999998</v>
      </c>
    </row>
    <row r="19" spans="1:96" x14ac:dyDescent="0.25">
      <c r="A19" s="45" t="s">
        <v>353</v>
      </c>
      <c r="B19" s="45">
        <v>-113827.3</v>
      </c>
      <c r="C19" s="45">
        <v>-13914.09</v>
      </c>
      <c r="D19" s="45">
        <v>801601</v>
      </c>
      <c r="E19" s="45">
        <v>157123.39000000001</v>
      </c>
      <c r="G19" s="45">
        <v>2565.31</v>
      </c>
      <c r="H19" s="45">
        <v>3727.5</v>
      </c>
      <c r="I19" s="45">
        <v>698320.22</v>
      </c>
      <c r="J19" s="45">
        <v>1200977.3999999999</v>
      </c>
      <c r="N19" s="45">
        <v>76779.009999999995</v>
      </c>
      <c r="O19" s="45">
        <v>7319980</v>
      </c>
      <c r="P19" s="45">
        <v>4105</v>
      </c>
      <c r="Q19" s="45">
        <v>795888.3600000001</v>
      </c>
      <c r="R19" s="45">
        <v>2424338.52</v>
      </c>
      <c r="S19" s="45">
        <v>4068800.12</v>
      </c>
      <c r="T19" s="45">
        <v>1049573.4000000001</v>
      </c>
      <c r="U19" s="45">
        <v>28482.159999999996</v>
      </c>
      <c r="V19" s="45">
        <v>796208.62999999989</v>
      </c>
      <c r="W19" s="45">
        <v>9908.57</v>
      </c>
      <c r="X19" s="45">
        <v>31391.72</v>
      </c>
      <c r="Y19" s="45">
        <v>25029.78</v>
      </c>
      <c r="Z19" s="45">
        <v>923447.41</v>
      </c>
      <c r="AA19" s="45">
        <v>31386.289999999997</v>
      </c>
      <c r="AB19" s="45">
        <v>24383.809999999998</v>
      </c>
      <c r="AC19" s="45">
        <v>23124.45</v>
      </c>
      <c r="AD19" s="45">
        <v>2717525.1200000006</v>
      </c>
      <c r="AE19" s="45">
        <v>189256.83000000002</v>
      </c>
      <c r="AG19" s="45">
        <v>24500</v>
      </c>
      <c r="AH19" s="45">
        <v>70909.33</v>
      </c>
      <c r="AI19" s="45">
        <v>2104233.2799999998</v>
      </c>
      <c r="AJ19" s="45">
        <v>5817551.9999999981</v>
      </c>
      <c r="AK19" s="45">
        <v>1193412.7600000002</v>
      </c>
      <c r="AN19" s="45">
        <v>529805.14</v>
      </c>
      <c r="AO19" s="45">
        <v>24947.66</v>
      </c>
      <c r="AP19" s="45">
        <v>304405.27999999997</v>
      </c>
      <c r="AQ19" s="45">
        <v>683138.24999999988</v>
      </c>
      <c r="AR19" s="45">
        <v>573604.54</v>
      </c>
      <c r="AS19" s="45">
        <v>44629.5</v>
      </c>
      <c r="AT19" s="45">
        <v>80175</v>
      </c>
      <c r="AU19" s="45">
        <v>23341.59</v>
      </c>
      <c r="AV19" s="45">
        <v>31703.96</v>
      </c>
      <c r="AX19" s="45">
        <v>46029.78</v>
      </c>
      <c r="AY19" s="45">
        <v>110602.82</v>
      </c>
      <c r="AZ19" s="45">
        <v>38631</v>
      </c>
      <c r="BA19" s="45">
        <v>335890.85</v>
      </c>
      <c r="BB19" s="45">
        <v>147331</v>
      </c>
      <c r="BC19" s="45">
        <v>122336.5</v>
      </c>
      <c r="BD19" s="45">
        <v>377254.30999999994</v>
      </c>
      <c r="BE19" s="45">
        <v>882.27</v>
      </c>
      <c r="BF19" s="45">
        <v>1333830.4899999998</v>
      </c>
      <c r="BG19" s="45">
        <v>1221039.7999999998</v>
      </c>
      <c r="BH19" s="45">
        <v>220000</v>
      </c>
      <c r="BJ19" s="45">
        <v>45454.54</v>
      </c>
      <c r="BK19" s="45">
        <v>6818.17</v>
      </c>
      <c r="BL19" s="2">
        <f t="shared" si="1"/>
        <v>38788642.430000007</v>
      </c>
      <c r="BN19" s="341">
        <v>8695.42</v>
      </c>
      <c r="BO19" s="341">
        <v>5311709.0500000007</v>
      </c>
      <c r="BP19" s="341">
        <v>2658.0699999999997</v>
      </c>
      <c r="BQ19" s="341"/>
      <c r="BR19" s="341">
        <v>230000</v>
      </c>
      <c r="BS19" s="341">
        <v>477400</v>
      </c>
      <c r="BT19" s="341"/>
      <c r="BU19" s="341">
        <v>1111.5</v>
      </c>
      <c r="BV19" s="341"/>
      <c r="BW19" s="341"/>
      <c r="BX19" s="341"/>
      <c r="BY19" s="341">
        <v>164259.29999999999</v>
      </c>
      <c r="BZ19" s="341"/>
      <c r="CA19" s="341"/>
      <c r="CB19" s="347"/>
      <c r="CC19" s="341"/>
      <c r="CD19" s="341"/>
      <c r="CE19" s="341">
        <v>1064558</v>
      </c>
      <c r="CF19" s="341">
        <v>1076.5</v>
      </c>
      <c r="CG19" s="341">
        <v>739932.25000000023</v>
      </c>
      <c r="CH19" s="341"/>
      <c r="CI19" s="341">
        <v>512426.90999999992</v>
      </c>
      <c r="CJ19" s="341">
        <v>14268.26</v>
      </c>
      <c r="CK19" s="341"/>
      <c r="CL19" s="341"/>
      <c r="CM19" s="341"/>
      <c r="CN19" s="341"/>
      <c r="CO19" s="341"/>
      <c r="CP19" s="347">
        <v>28095</v>
      </c>
      <c r="CQ19" s="341"/>
      <c r="CR19" s="342">
        <f t="shared" si="0"/>
        <v>8556190.2599999998</v>
      </c>
    </row>
    <row r="20" spans="1:96" x14ac:dyDescent="0.25">
      <c r="A20" s="45" t="s">
        <v>354</v>
      </c>
      <c r="B20" s="45">
        <v>-400994.86</v>
      </c>
      <c r="C20" s="45">
        <v>-117139.16</v>
      </c>
      <c r="D20" s="45">
        <v>1320284</v>
      </c>
      <c r="E20" s="45">
        <v>251523.80999999994</v>
      </c>
      <c r="F20" s="45">
        <v>8525.4699999999993</v>
      </c>
      <c r="G20" s="45">
        <v>4489.29</v>
      </c>
      <c r="I20" s="45">
        <v>843803.60000000009</v>
      </c>
      <c r="J20" s="45">
        <v>2322188.2000000002</v>
      </c>
      <c r="L20" s="45">
        <v>1264</v>
      </c>
      <c r="M20" s="45">
        <v>6840.49</v>
      </c>
      <c r="N20" s="45">
        <v>115470.79</v>
      </c>
      <c r="O20" s="45">
        <v>39272859</v>
      </c>
      <c r="P20" s="45">
        <v>55</v>
      </c>
      <c r="Q20" s="45">
        <v>4297743.0600000015</v>
      </c>
      <c r="R20" s="45">
        <v>13209153.920000002</v>
      </c>
      <c r="S20" s="45">
        <v>23171305.319999997</v>
      </c>
      <c r="T20" s="45">
        <v>7074159.3200000012</v>
      </c>
      <c r="U20" s="45">
        <v>298649.5</v>
      </c>
      <c r="V20" s="45">
        <v>4410360.3000000007</v>
      </c>
      <c r="W20" s="45">
        <v>29045.659999999996</v>
      </c>
      <c r="X20" s="45">
        <v>414286.62</v>
      </c>
      <c r="Y20" s="45">
        <v>315211.96999999991</v>
      </c>
      <c r="Z20" s="45">
        <v>6532568.7000000011</v>
      </c>
      <c r="AA20" s="45">
        <v>391909.4800000001</v>
      </c>
      <c r="AB20" s="45">
        <v>136269.85999999999</v>
      </c>
      <c r="AC20" s="45">
        <v>132237.09000000003</v>
      </c>
      <c r="AD20" s="45">
        <v>11826760.470000001</v>
      </c>
      <c r="AE20" s="45">
        <v>2373683.9699999997</v>
      </c>
      <c r="AG20" s="45">
        <v>37585</v>
      </c>
      <c r="AH20" s="45">
        <v>107921.9</v>
      </c>
      <c r="AI20" s="45">
        <v>3401268.76</v>
      </c>
      <c r="AJ20" s="45">
        <v>7658684.9999999981</v>
      </c>
      <c r="AK20" s="45">
        <v>1571102.8399999999</v>
      </c>
      <c r="AN20" s="45">
        <v>3188414.5200000005</v>
      </c>
      <c r="AO20" s="45">
        <v>35321.93</v>
      </c>
      <c r="AP20" s="45">
        <v>482002.98000000004</v>
      </c>
      <c r="AQ20" s="45">
        <v>1090325.8299999998</v>
      </c>
      <c r="AR20" s="45">
        <v>912166.29999999993</v>
      </c>
      <c r="AS20" s="45">
        <v>66513</v>
      </c>
      <c r="AT20" s="45">
        <v>107235</v>
      </c>
      <c r="AU20" s="45">
        <v>117550.34</v>
      </c>
      <c r="AV20" s="45">
        <v>49704.52</v>
      </c>
      <c r="AX20" s="45">
        <v>37712.019999999997</v>
      </c>
      <c r="AZ20" s="45">
        <v>62092</v>
      </c>
      <c r="BA20" s="45">
        <v>1500337.6799999997</v>
      </c>
      <c r="BB20" s="45">
        <v>15802</v>
      </c>
      <c r="BC20" s="45">
        <v>48219.55</v>
      </c>
      <c r="BD20" s="45">
        <v>973433.81999999983</v>
      </c>
      <c r="BE20" s="45">
        <v>2940.9</v>
      </c>
      <c r="BF20" s="45">
        <v>7410379.1600000011</v>
      </c>
      <c r="BG20" s="45">
        <v>1702031.5999999999</v>
      </c>
      <c r="BH20" s="45">
        <v>60000</v>
      </c>
      <c r="BL20" s="2">
        <f t="shared" si="1"/>
        <v>148881261.52000007</v>
      </c>
      <c r="BN20" s="341">
        <v>35943.870000000003</v>
      </c>
      <c r="BO20" s="341">
        <v>7720948.9200000009</v>
      </c>
      <c r="BP20" s="341">
        <v>4102.05</v>
      </c>
      <c r="BQ20" s="341"/>
      <c r="BR20" s="341">
        <v>230000</v>
      </c>
      <c r="BS20" s="341">
        <v>623975</v>
      </c>
      <c r="BT20" s="341"/>
      <c r="BU20" s="341">
        <v>2042.51</v>
      </c>
      <c r="BV20" s="341">
        <v>5000</v>
      </c>
      <c r="BW20" s="341"/>
      <c r="BX20" s="341"/>
      <c r="BY20" s="341">
        <v>236332.27</v>
      </c>
      <c r="BZ20" s="341"/>
      <c r="CA20" s="341"/>
      <c r="CB20" s="347"/>
      <c r="CC20" s="341"/>
      <c r="CD20" s="341">
        <v>4036416.59</v>
      </c>
      <c r="CE20" s="341">
        <v>1536031.02</v>
      </c>
      <c r="CF20" s="341">
        <v>1076.5</v>
      </c>
      <c r="CG20" s="341"/>
      <c r="CH20" s="341"/>
      <c r="CI20" s="341">
        <v>441426.00000000012</v>
      </c>
      <c r="CJ20" s="341">
        <v>10792.16</v>
      </c>
      <c r="CK20" s="341"/>
      <c r="CL20" s="341"/>
      <c r="CM20" s="341"/>
      <c r="CN20" s="341"/>
      <c r="CO20" s="341"/>
      <c r="CP20" s="347">
        <v>156736</v>
      </c>
      <c r="CQ20" s="341"/>
      <c r="CR20" s="342">
        <f t="shared" si="0"/>
        <v>15040822.889999999</v>
      </c>
    </row>
    <row r="21" spans="1:96" x14ac:dyDescent="0.25">
      <c r="A21" s="45" t="s">
        <v>355</v>
      </c>
      <c r="B21" s="45">
        <v>-46181.58</v>
      </c>
      <c r="C21" s="45">
        <v>-4468.7299999999996</v>
      </c>
      <c r="D21" s="45">
        <v>94306</v>
      </c>
      <c r="E21" s="45">
        <v>13403.5</v>
      </c>
      <c r="F21" s="45">
        <v>12335.1</v>
      </c>
      <c r="G21" s="45">
        <v>663.44</v>
      </c>
      <c r="I21" s="45">
        <v>58193.35</v>
      </c>
      <c r="J21" s="45">
        <v>187776.44000000003</v>
      </c>
      <c r="M21" s="45">
        <v>135.16</v>
      </c>
      <c r="N21" s="45">
        <v>12695.74</v>
      </c>
      <c r="O21" s="45">
        <v>1293724</v>
      </c>
      <c r="P21" s="45">
        <v>110</v>
      </c>
      <c r="Q21" s="45">
        <v>133734.41999999998</v>
      </c>
      <c r="R21" s="45">
        <v>420726.61999999994</v>
      </c>
      <c r="S21" s="45">
        <v>712591.22</v>
      </c>
      <c r="T21" s="45">
        <v>136230.56</v>
      </c>
      <c r="U21" s="45">
        <v>12709.560000000001</v>
      </c>
      <c r="V21" s="45">
        <v>85276.229999999981</v>
      </c>
      <c r="W21" s="45">
        <v>285.96999999999997</v>
      </c>
      <c r="X21" s="45">
        <v>20784.169999999998</v>
      </c>
      <c r="Y21" s="45">
        <v>36627.009999999995</v>
      </c>
      <c r="Z21" s="45">
        <v>316665.68000000005</v>
      </c>
      <c r="AA21" s="45">
        <v>6838.9099999999989</v>
      </c>
      <c r="AB21" s="45">
        <v>3273</v>
      </c>
      <c r="AC21" s="45">
        <v>2598.02</v>
      </c>
      <c r="AD21" s="45">
        <v>417963.04</v>
      </c>
      <c r="AE21" s="45">
        <v>45821.959999999992</v>
      </c>
      <c r="AH21" s="45">
        <v>14990.52</v>
      </c>
      <c r="AI21" s="45">
        <v>222171.92000000004</v>
      </c>
      <c r="AJ21" s="45">
        <v>428925.99999999988</v>
      </c>
      <c r="AK21" s="45">
        <v>87989.889999999985</v>
      </c>
      <c r="AN21" s="45">
        <v>115561</v>
      </c>
      <c r="AO21" s="45">
        <v>1729.05</v>
      </c>
      <c r="AP21" s="45">
        <v>34237.519999999997</v>
      </c>
      <c r="AQ21" s="45">
        <v>55633.30000000001</v>
      </c>
      <c r="AR21" s="45">
        <v>49999.999999999993</v>
      </c>
      <c r="AS21" s="45">
        <v>2974.75</v>
      </c>
      <c r="AT21" s="45">
        <v>3410</v>
      </c>
      <c r="AU21" s="45">
        <v>18122.3</v>
      </c>
      <c r="AV21" s="45">
        <v>2308.35</v>
      </c>
      <c r="AY21" s="45">
        <v>8121.49</v>
      </c>
      <c r="AZ21" s="45">
        <v>1244</v>
      </c>
      <c r="BA21" s="45">
        <v>20682.290000000005</v>
      </c>
      <c r="BC21" s="45">
        <v>10000</v>
      </c>
      <c r="BD21" s="45">
        <v>11512.8</v>
      </c>
      <c r="BF21" s="45">
        <v>317939.21999999997</v>
      </c>
      <c r="BG21" s="45">
        <v>122103.98000000001</v>
      </c>
      <c r="BH21" s="45">
        <v>67580</v>
      </c>
      <c r="BL21" s="2">
        <f t="shared" si="1"/>
        <v>5572057.169999999</v>
      </c>
      <c r="BN21" s="341">
        <v>3134.05</v>
      </c>
      <c r="BO21" s="341">
        <v>527876.34000000008</v>
      </c>
      <c r="BP21" s="341">
        <v>380.21999999999997</v>
      </c>
      <c r="BQ21" s="341"/>
      <c r="BR21" s="341"/>
      <c r="BS21" s="341">
        <v>36575</v>
      </c>
      <c r="BT21" s="341">
        <v>10000</v>
      </c>
      <c r="BU21" s="341"/>
      <c r="BV21" s="341"/>
      <c r="BW21" s="341"/>
      <c r="BX21" s="341"/>
      <c r="BY21" s="341">
        <v>13408.92</v>
      </c>
      <c r="BZ21" s="341"/>
      <c r="CA21" s="341"/>
      <c r="CB21" s="347"/>
      <c r="CC21" s="341"/>
      <c r="CD21" s="341">
        <v>412080.37000000011</v>
      </c>
      <c r="CE21" s="341">
        <v>48097.5</v>
      </c>
      <c r="CF21" s="341">
        <v>1076.5</v>
      </c>
      <c r="CG21" s="341"/>
      <c r="CH21" s="341"/>
      <c r="CI21" s="341"/>
      <c r="CJ21" s="341"/>
      <c r="CK21" s="341"/>
      <c r="CL21" s="341"/>
      <c r="CM21" s="341">
        <v>9021.6</v>
      </c>
      <c r="CN21" s="341">
        <v>10000</v>
      </c>
      <c r="CO21" s="341">
        <v>240000</v>
      </c>
      <c r="CP21" s="347">
        <v>5062</v>
      </c>
      <c r="CQ21" s="341"/>
      <c r="CR21" s="342">
        <f t="shared" si="0"/>
        <v>1316712.5000000005</v>
      </c>
    </row>
    <row r="22" spans="1:96" x14ac:dyDescent="0.25">
      <c r="A22" s="45" t="s">
        <v>356</v>
      </c>
      <c r="B22" s="45">
        <v>-556913.19999999995</v>
      </c>
      <c r="C22" s="45">
        <v>-32499.52</v>
      </c>
      <c r="D22" s="45">
        <v>1886120</v>
      </c>
      <c r="E22" s="45">
        <v>363285.91999999993</v>
      </c>
      <c r="G22" s="45">
        <v>9619.9</v>
      </c>
      <c r="H22" s="45">
        <v>5591.25</v>
      </c>
      <c r="I22" s="45">
        <v>1629413.85</v>
      </c>
      <c r="J22" s="45">
        <v>2455741.96</v>
      </c>
      <c r="K22" s="45">
        <v>276484.7</v>
      </c>
      <c r="M22" s="45">
        <v>6702.54</v>
      </c>
      <c r="N22" s="45">
        <v>145698.75</v>
      </c>
      <c r="O22" s="45">
        <v>23691762</v>
      </c>
      <c r="P22" s="45">
        <v>618.32999999999993</v>
      </c>
      <c r="Q22" s="45">
        <v>2998014.6599999997</v>
      </c>
      <c r="R22" s="45">
        <v>8882842.4299999997</v>
      </c>
      <c r="S22" s="45">
        <v>14127365.600000003</v>
      </c>
      <c r="T22" s="45">
        <v>5398350.8399999999</v>
      </c>
      <c r="U22" s="45">
        <v>204975.61</v>
      </c>
      <c r="V22" s="45">
        <v>1452785.6700000004</v>
      </c>
      <c r="W22" s="45">
        <v>45441.14</v>
      </c>
      <c r="X22" s="45">
        <v>237783.31000000003</v>
      </c>
      <c r="Y22" s="45">
        <v>243643.65999999997</v>
      </c>
      <c r="Z22" s="45">
        <v>3941845.9400000004</v>
      </c>
      <c r="AA22" s="45">
        <v>130616.61000000003</v>
      </c>
      <c r="AB22" s="45">
        <v>116626.84999999999</v>
      </c>
      <c r="AC22" s="45">
        <v>87128.92</v>
      </c>
      <c r="AD22" s="45">
        <v>5347399.1000000006</v>
      </c>
      <c r="AE22" s="45">
        <v>1362841.7300000002</v>
      </c>
      <c r="AF22" s="45">
        <v>70443.31</v>
      </c>
      <c r="AG22" s="45">
        <v>16123.449999999999</v>
      </c>
      <c r="AH22" s="45">
        <v>147529.4</v>
      </c>
      <c r="AI22" s="45">
        <v>4326726.96</v>
      </c>
      <c r="AJ22" s="45">
        <v>11752759</v>
      </c>
      <c r="AK22" s="45">
        <v>2410961.2900000005</v>
      </c>
      <c r="AM22" s="45">
        <v>-1151.5899999999999</v>
      </c>
      <c r="AN22" s="45">
        <v>1747799.05</v>
      </c>
      <c r="AO22" s="45">
        <v>55082.45</v>
      </c>
      <c r="AP22" s="45">
        <v>664224.21</v>
      </c>
      <c r="AQ22" s="45">
        <v>1449306.6199999996</v>
      </c>
      <c r="AR22" s="45">
        <v>1084760.0100000002</v>
      </c>
      <c r="AS22" s="45">
        <v>84269.25</v>
      </c>
      <c r="AT22" s="45">
        <v>89156.5</v>
      </c>
      <c r="AU22" s="45">
        <v>70682.42</v>
      </c>
      <c r="AV22" s="45">
        <v>65464.76</v>
      </c>
      <c r="AX22" s="45">
        <v>66603.58</v>
      </c>
      <c r="AY22" s="45">
        <v>193981.76</v>
      </c>
      <c r="AZ22" s="45">
        <v>36840</v>
      </c>
      <c r="BA22" s="45">
        <v>1457545.5999999999</v>
      </c>
      <c r="BB22" s="45">
        <v>57604</v>
      </c>
      <c r="BC22" s="45">
        <v>39030.15</v>
      </c>
      <c r="BD22" s="45">
        <v>546803.52000000014</v>
      </c>
      <c r="BE22" s="45">
        <v>5881.79</v>
      </c>
      <c r="BF22" s="45">
        <v>4120880.78</v>
      </c>
      <c r="BG22" s="45">
        <v>3041928.37</v>
      </c>
      <c r="BH22" s="45">
        <v>102000</v>
      </c>
      <c r="BI22" s="45">
        <v>298368</v>
      </c>
      <c r="BL22" s="2">
        <f t="shared" si="1"/>
        <v>108460893.19000001</v>
      </c>
      <c r="BN22" s="341">
        <v>24117.64</v>
      </c>
      <c r="BO22" s="341">
        <v>10974167.780000001</v>
      </c>
      <c r="BP22" s="341">
        <v>5868.76</v>
      </c>
      <c r="BQ22" s="341"/>
      <c r="BR22" s="341">
        <v>2535000</v>
      </c>
      <c r="BS22" s="341">
        <v>1005125</v>
      </c>
      <c r="BT22" s="341"/>
      <c r="BU22" s="341"/>
      <c r="BV22" s="341">
        <v>14976.64</v>
      </c>
      <c r="BW22" s="341"/>
      <c r="BX22" s="341"/>
      <c r="BY22" s="341">
        <v>512891.3</v>
      </c>
      <c r="BZ22" s="341"/>
      <c r="CA22" s="341"/>
      <c r="CB22" s="347"/>
      <c r="CC22" s="341"/>
      <c r="CD22" s="341"/>
      <c r="CE22" s="341">
        <v>2448567.4099999997</v>
      </c>
      <c r="CF22" s="341">
        <v>10765</v>
      </c>
      <c r="CG22" s="341">
        <v>1657645.7700000003</v>
      </c>
      <c r="CH22" s="341"/>
      <c r="CI22" s="341">
        <v>445888.47</v>
      </c>
      <c r="CJ22" s="341">
        <v>67841.63</v>
      </c>
      <c r="CK22" s="341"/>
      <c r="CL22" s="341"/>
      <c r="CM22" s="341"/>
      <c r="CN22" s="341"/>
      <c r="CO22" s="341"/>
      <c r="CP22" s="347">
        <v>93755</v>
      </c>
      <c r="CQ22" s="341"/>
      <c r="CR22" s="342">
        <f t="shared" si="0"/>
        <v>19796610.399999999</v>
      </c>
    </row>
    <row r="23" spans="1:96" x14ac:dyDescent="0.25">
      <c r="A23" s="45" t="s">
        <v>357</v>
      </c>
      <c r="B23" s="45">
        <v>-79157.760000000009</v>
      </c>
      <c r="C23" s="45">
        <v>-22955.35</v>
      </c>
      <c r="D23" s="45">
        <v>377224</v>
      </c>
      <c r="E23" s="45">
        <v>64264.609999999993</v>
      </c>
      <c r="F23" s="45">
        <v>1978.35</v>
      </c>
      <c r="G23" s="45">
        <v>1923.98</v>
      </c>
      <c r="I23" s="45">
        <v>349160.11</v>
      </c>
      <c r="J23" s="45">
        <v>686805.38000000012</v>
      </c>
      <c r="M23" s="45">
        <v>7569.01</v>
      </c>
      <c r="N23" s="45">
        <v>29623.4</v>
      </c>
      <c r="O23" s="45">
        <v>9688654</v>
      </c>
      <c r="P23" s="45">
        <v>815</v>
      </c>
      <c r="Q23" s="45">
        <v>1017545.3300000001</v>
      </c>
      <c r="R23" s="45">
        <v>3229416.1399999997</v>
      </c>
      <c r="S23" s="45">
        <v>5462381.7599999998</v>
      </c>
      <c r="T23" s="45">
        <v>1623070.32</v>
      </c>
      <c r="U23" s="45">
        <v>54657.299999999988</v>
      </c>
      <c r="V23" s="45">
        <v>1417797.99</v>
      </c>
      <c r="W23" s="45">
        <v>23856.999999999996</v>
      </c>
      <c r="X23" s="45">
        <v>69206.100000000006</v>
      </c>
      <c r="Y23" s="45">
        <v>96222.59</v>
      </c>
      <c r="Z23" s="45">
        <v>1513301.6499999997</v>
      </c>
      <c r="AA23" s="45">
        <v>73954.799999999988</v>
      </c>
      <c r="AB23" s="45">
        <v>43608.55</v>
      </c>
      <c r="AC23" s="45">
        <v>15437.99</v>
      </c>
      <c r="AD23" s="45">
        <v>2981216.36</v>
      </c>
      <c r="AE23" s="45">
        <v>445034.19000000006</v>
      </c>
      <c r="AH23" s="45">
        <v>34435.14</v>
      </c>
      <c r="AI23" s="45">
        <v>1055174.1399999999</v>
      </c>
      <c r="AJ23" s="45">
        <v>2096126.9999999995</v>
      </c>
      <c r="AK23" s="45">
        <v>429999.55000000005</v>
      </c>
      <c r="AN23" s="45">
        <v>895138.70000000007</v>
      </c>
      <c r="AO23" s="45">
        <v>10621.28</v>
      </c>
      <c r="AP23" s="45">
        <v>122350.75999999998</v>
      </c>
      <c r="AQ23" s="45">
        <v>278313.89999999997</v>
      </c>
      <c r="AR23" s="45">
        <v>178316.70999999996</v>
      </c>
      <c r="AS23" s="45">
        <v>17630.25</v>
      </c>
      <c r="AT23" s="45">
        <v>29145</v>
      </c>
      <c r="AU23" s="45">
        <v>42265.289999999994</v>
      </c>
      <c r="AV23" s="45">
        <v>12540.88</v>
      </c>
      <c r="AX23" s="45">
        <v>15762.08</v>
      </c>
      <c r="AY23" s="45">
        <v>48135.9</v>
      </c>
      <c r="AZ23" s="45">
        <v>17680</v>
      </c>
      <c r="BA23" s="45">
        <v>314624.77</v>
      </c>
      <c r="BC23" s="45">
        <v>23366.400000000001</v>
      </c>
      <c r="BD23" s="45">
        <v>151352.86999999997</v>
      </c>
      <c r="BE23" s="45">
        <v>588.17999999999995</v>
      </c>
      <c r="BF23" s="45">
        <v>2314734.0099999998</v>
      </c>
      <c r="BG23" s="45">
        <v>732623.88</v>
      </c>
      <c r="BH23" s="45">
        <v>466100</v>
      </c>
      <c r="BL23" s="2">
        <f t="shared" si="1"/>
        <v>38459639.490000002</v>
      </c>
      <c r="BN23" s="341">
        <v>14265.82</v>
      </c>
      <c r="BO23" s="341">
        <v>2388776.42</v>
      </c>
      <c r="BP23" s="341">
        <v>1904.81</v>
      </c>
      <c r="BQ23" s="341"/>
      <c r="BR23" s="341">
        <v>180000</v>
      </c>
      <c r="BS23" s="341">
        <v>181225</v>
      </c>
      <c r="BT23" s="341"/>
      <c r="BU23" s="341">
        <v>3797.6500000000005</v>
      </c>
      <c r="BV23" s="341"/>
      <c r="BW23" s="341">
        <v>66667</v>
      </c>
      <c r="BX23" s="341"/>
      <c r="BY23" s="341">
        <v>113975.84</v>
      </c>
      <c r="BZ23" s="341"/>
      <c r="CA23" s="341"/>
      <c r="CB23" s="347"/>
      <c r="CC23" s="341"/>
      <c r="CD23" s="341">
        <v>1107956.6699999997</v>
      </c>
      <c r="CE23" s="341">
        <v>330269.50000000006</v>
      </c>
      <c r="CF23" s="341">
        <v>1076.5</v>
      </c>
      <c r="CG23" s="341"/>
      <c r="CH23" s="341"/>
      <c r="CI23" s="341">
        <v>290750.96999999997</v>
      </c>
      <c r="CJ23" s="341">
        <v>2378.04</v>
      </c>
      <c r="CK23" s="341"/>
      <c r="CL23" s="341"/>
      <c r="CM23" s="341"/>
      <c r="CN23" s="341">
        <v>50000</v>
      </c>
      <c r="CO23" s="341"/>
      <c r="CP23" s="347">
        <v>38888</v>
      </c>
      <c r="CQ23" s="341"/>
      <c r="CR23" s="342">
        <f t="shared" si="0"/>
        <v>4771932.2199999988</v>
      </c>
    </row>
    <row r="24" spans="1:96" x14ac:dyDescent="0.25">
      <c r="A24" s="45" t="s">
        <v>358</v>
      </c>
      <c r="B24" s="45">
        <v>-46183.75</v>
      </c>
      <c r="D24" s="45">
        <v>235765.00000000003</v>
      </c>
      <c r="E24" s="45">
        <v>39296.69</v>
      </c>
      <c r="F24" s="45">
        <v>1177.2</v>
      </c>
      <c r="G24" s="45">
        <v>641.33000000000004</v>
      </c>
      <c r="I24" s="45">
        <v>174580.06</v>
      </c>
      <c r="J24" s="45">
        <v>511249.02</v>
      </c>
      <c r="K24" s="45">
        <v>624.96</v>
      </c>
      <c r="M24" s="45">
        <v>1140.6099999999999</v>
      </c>
      <c r="N24" s="45">
        <v>29623.4</v>
      </c>
      <c r="O24" s="45">
        <v>6012587</v>
      </c>
      <c r="P24" s="45">
        <v>55</v>
      </c>
      <c r="Q24" s="45">
        <v>673639.1</v>
      </c>
      <c r="R24" s="45">
        <v>1986867.6800000002</v>
      </c>
      <c r="S24" s="45">
        <v>3361170.0999999996</v>
      </c>
      <c r="T24" s="45">
        <v>1541367</v>
      </c>
      <c r="U24" s="45">
        <v>70856.88</v>
      </c>
      <c r="V24" s="45">
        <v>494257.56000000006</v>
      </c>
      <c r="W24" s="45">
        <v>7221</v>
      </c>
      <c r="X24" s="45">
        <v>39897.329999999994</v>
      </c>
      <c r="Y24" s="45">
        <v>86972.28</v>
      </c>
      <c r="Z24" s="45">
        <v>1412971.9100000001</v>
      </c>
      <c r="AA24" s="45">
        <v>39408.400000000009</v>
      </c>
      <c r="AB24" s="45">
        <v>40151.579999999994</v>
      </c>
      <c r="AC24" s="45">
        <v>21141.68</v>
      </c>
      <c r="AD24" s="45">
        <v>1119413.58</v>
      </c>
      <c r="AE24" s="45">
        <v>165358.80000000005</v>
      </c>
      <c r="AG24" s="45">
        <v>12599.999999999998</v>
      </c>
      <c r="AH24" s="45">
        <v>24907.24</v>
      </c>
      <c r="AI24" s="45">
        <v>681942.65</v>
      </c>
      <c r="AJ24" s="45">
        <v>1268714</v>
      </c>
      <c r="AK24" s="45">
        <v>260264.02000000005</v>
      </c>
      <c r="AN24" s="45">
        <v>635365.04</v>
      </c>
      <c r="AO24" s="45">
        <v>9139.24</v>
      </c>
      <c r="AP24" s="45">
        <v>104250.05</v>
      </c>
      <c r="AQ24" s="45">
        <v>165669.21999999997</v>
      </c>
      <c r="AR24" s="45">
        <v>157432.77000000005</v>
      </c>
      <c r="AS24" s="45">
        <v>9425.5</v>
      </c>
      <c r="AT24" s="45">
        <v>16585</v>
      </c>
      <c r="AU24" s="45">
        <v>36396.54</v>
      </c>
      <c r="AV24" s="45">
        <v>7301.36</v>
      </c>
      <c r="AY24" s="45">
        <v>29632.880000000001</v>
      </c>
      <c r="AZ24" s="45">
        <v>4160</v>
      </c>
      <c r="BA24" s="45">
        <v>123505.71999999999</v>
      </c>
      <c r="BC24" s="45">
        <v>27334.55</v>
      </c>
      <c r="BD24" s="45">
        <v>22217.34</v>
      </c>
      <c r="BE24" s="45">
        <v>294.08999999999997</v>
      </c>
      <c r="BF24" s="45">
        <v>1532077.18</v>
      </c>
      <c r="BG24" s="45">
        <v>364826.68999999994</v>
      </c>
      <c r="BH24" s="45">
        <v>360000</v>
      </c>
      <c r="BL24" s="2">
        <f t="shared" si="1"/>
        <v>23875292.479999993</v>
      </c>
      <c r="BN24" s="341">
        <v>986.82999999999993</v>
      </c>
      <c r="BO24" s="341">
        <v>1374469.4999999995</v>
      </c>
      <c r="BP24" s="341">
        <v>722.74</v>
      </c>
      <c r="BQ24" s="341"/>
      <c r="BR24" s="341">
        <v>405250</v>
      </c>
      <c r="BS24" s="341">
        <v>109175</v>
      </c>
      <c r="BT24" s="341"/>
      <c r="BU24" s="341">
        <v>3056.66</v>
      </c>
      <c r="BV24" s="341"/>
      <c r="BW24" s="341"/>
      <c r="BX24" s="341"/>
      <c r="BY24" s="341">
        <v>58664.04</v>
      </c>
      <c r="BZ24" s="341"/>
      <c r="CA24" s="341"/>
      <c r="CB24" s="347"/>
      <c r="CC24" s="341"/>
      <c r="CD24" s="341">
        <v>818548.29999999993</v>
      </c>
      <c r="CE24" s="341">
        <v>245600.56000000003</v>
      </c>
      <c r="CF24" s="341">
        <v>1076.5</v>
      </c>
      <c r="CG24" s="341"/>
      <c r="CH24" s="341"/>
      <c r="CI24" s="341">
        <v>144356.22</v>
      </c>
      <c r="CJ24" s="341">
        <v>2131.14</v>
      </c>
      <c r="CK24" s="341"/>
      <c r="CL24" s="341"/>
      <c r="CM24" s="341">
        <v>16890.330000000002</v>
      </c>
      <c r="CN24" s="341"/>
      <c r="CO24" s="341">
        <v>400000</v>
      </c>
      <c r="CP24" s="347">
        <v>23938</v>
      </c>
      <c r="CQ24" s="341"/>
      <c r="CR24" s="342">
        <f t="shared" si="0"/>
        <v>3604865.82</v>
      </c>
    </row>
    <row r="25" spans="1:96" x14ac:dyDescent="0.25">
      <c r="A25" s="45" t="s">
        <v>359</v>
      </c>
      <c r="B25" s="45">
        <v>-93175.179999999978</v>
      </c>
      <c r="C25" s="45">
        <v>-8432.9699999999993</v>
      </c>
      <c r="D25" s="45">
        <v>235765.00000000003</v>
      </c>
      <c r="E25" s="45">
        <v>50817.360000000015</v>
      </c>
      <c r="F25" s="45">
        <v>26952.75</v>
      </c>
      <c r="G25" s="45">
        <v>1282.6500000000001</v>
      </c>
      <c r="I25" s="45">
        <v>261870.08000000002</v>
      </c>
      <c r="J25" s="45">
        <v>908590.25000000023</v>
      </c>
      <c r="M25" s="45">
        <v>1422.76</v>
      </c>
      <c r="N25" s="45">
        <v>54410.32</v>
      </c>
      <c r="O25" s="45">
        <v>8550762</v>
      </c>
      <c r="P25" s="45">
        <v>660</v>
      </c>
      <c r="Q25" s="45">
        <v>936277.75999999989</v>
      </c>
      <c r="R25" s="45">
        <v>2817162.62</v>
      </c>
      <c r="S25" s="45">
        <v>4868046.22</v>
      </c>
      <c r="T25" s="45">
        <v>553717.68000000005</v>
      </c>
      <c r="U25" s="45">
        <v>78905.179999999993</v>
      </c>
      <c r="V25" s="45">
        <v>871451.19000000006</v>
      </c>
      <c r="W25" s="45">
        <v>9670.1500000000015</v>
      </c>
      <c r="X25" s="45">
        <v>13118.849999999999</v>
      </c>
      <c r="Y25" s="45">
        <v>141639.25999999998</v>
      </c>
      <c r="Z25" s="45">
        <v>1345735.49</v>
      </c>
      <c r="AA25" s="45">
        <v>34414.360000000008</v>
      </c>
      <c r="AB25" s="45">
        <v>23017.4</v>
      </c>
      <c r="AC25" s="45">
        <v>8964.9</v>
      </c>
      <c r="AD25" s="45">
        <v>3802177.1199999996</v>
      </c>
      <c r="AE25" s="45">
        <v>187491.21000000005</v>
      </c>
      <c r="AG25" s="45">
        <v>28001.999999999996</v>
      </c>
      <c r="AH25" s="45">
        <v>29642.58</v>
      </c>
      <c r="AI25" s="45">
        <v>874741.53999999992</v>
      </c>
      <c r="AJ25" s="45">
        <v>1646644.0000000005</v>
      </c>
      <c r="AK25" s="45">
        <v>337792.59</v>
      </c>
      <c r="AN25" s="45">
        <v>808249.84999999986</v>
      </c>
      <c r="AO25" s="45">
        <v>7410.2</v>
      </c>
      <c r="AP25" s="45">
        <v>99107.45</v>
      </c>
      <c r="AQ25" s="45">
        <v>230174.1</v>
      </c>
      <c r="AR25" s="45">
        <v>208939.8</v>
      </c>
      <c r="AS25" s="45">
        <v>13702.75</v>
      </c>
      <c r="AT25" s="45">
        <v>26055</v>
      </c>
      <c r="AU25" s="45">
        <v>45994.159999999996</v>
      </c>
      <c r="AV25" s="45">
        <v>10383.61</v>
      </c>
      <c r="AX25" s="45">
        <v>2903.1</v>
      </c>
      <c r="AY25" s="45">
        <v>35975.4</v>
      </c>
      <c r="AZ25" s="45">
        <v>13120</v>
      </c>
      <c r="BA25" s="45">
        <v>451591.94999999995</v>
      </c>
      <c r="BC25" s="45">
        <v>78920.5</v>
      </c>
      <c r="BD25" s="45">
        <v>99545.66</v>
      </c>
      <c r="BE25" s="45">
        <v>588.17999999999995</v>
      </c>
      <c r="BF25" s="45">
        <v>2041884.7300000002</v>
      </c>
      <c r="BG25" s="45">
        <v>442219.44</v>
      </c>
      <c r="BH25" s="45">
        <v>102000</v>
      </c>
      <c r="BL25" s="2">
        <f t="shared" si="1"/>
        <v>33318302.999999996</v>
      </c>
      <c r="BN25" s="341">
        <v>8567.7900000000009</v>
      </c>
      <c r="BO25" s="341">
        <v>1825539.3900000001</v>
      </c>
      <c r="BP25" s="341">
        <v>1350.22</v>
      </c>
      <c r="BQ25" s="341"/>
      <c r="BR25" s="341">
        <v>205000</v>
      </c>
      <c r="BS25" s="341">
        <v>144375</v>
      </c>
      <c r="BT25" s="341"/>
      <c r="BU25" s="341">
        <v>2671.89</v>
      </c>
      <c r="BV25" s="341"/>
      <c r="BW25" s="341"/>
      <c r="BX25" s="341"/>
      <c r="BY25" s="341">
        <v>82129.649999999994</v>
      </c>
      <c r="BZ25" s="341"/>
      <c r="CA25" s="341"/>
      <c r="CB25" s="347"/>
      <c r="CC25" s="341"/>
      <c r="CD25" s="341">
        <v>625119.41</v>
      </c>
      <c r="CE25" s="341">
        <v>420051.5</v>
      </c>
      <c r="CF25" s="341">
        <v>1076.5</v>
      </c>
      <c r="CG25" s="341"/>
      <c r="CH25" s="341"/>
      <c r="CI25" s="341">
        <v>214178.38</v>
      </c>
      <c r="CJ25" s="341">
        <v>4879.54</v>
      </c>
      <c r="CK25" s="341"/>
      <c r="CL25" s="341"/>
      <c r="CM25" s="341"/>
      <c r="CN25" s="341"/>
      <c r="CO25" s="341"/>
      <c r="CP25" s="347">
        <v>34165</v>
      </c>
      <c r="CQ25" s="341"/>
      <c r="CR25" s="342">
        <f t="shared" si="0"/>
        <v>3569104.2700000005</v>
      </c>
    </row>
    <row r="26" spans="1:96" x14ac:dyDescent="0.25">
      <c r="A26" s="45" t="s">
        <v>360</v>
      </c>
      <c r="B26" s="45">
        <v>-5710.6200000000008</v>
      </c>
      <c r="D26" s="45">
        <v>94306</v>
      </c>
      <c r="E26" s="45">
        <v>5164.74</v>
      </c>
      <c r="G26" s="45">
        <v>663.44</v>
      </c>
      <c r="I26" s="45">
        <v>87290.03</v>
      </c>
      <c r="J26" s="45">
        <v>109625.7</v>
      </c>
      <c r="M26" s="45">
        <v>1678.25</v>
      </c>
      <c r="N26" s="45">
        <v>6650.15</v>
      </c>
      <c r="O26" s="45">
        <v>679094.99999999988</v>
      </c>
      <c r="Q26" s="45">
        <v>76427.569999999978</v>
      </c>
      <c r="R26" s="45">
        <v>194796.90999999997</v>
      </c>
      <c r="S26" s="45">
        <v>364832.42</v>
      </c>
      <c r="T26" s="45">
        <v>122045.03999999998</v>
      </c>
      <c r="V26" s="45">
        <v>79236.639999999999</v>
      </c>
      <c r="W26" s="45">
        <v>2226.34</v>
      </c>
      <c r="X26" s="45">
        <v>9823.94</v>
      </c>
      <c r="Y26" s="45">
        <v>25968.94</v>
      </c>
      <c r="Z26" s="45">
        <v>166631.51999999999</v>
      </c>
      <c r="AB26" s="45">
        <v>3840.0600000000004</v>
      </c>
      <c r="AC26" s="45">
        <v>2042.64</v>
      </c>
      <c r="AD26" s="45">
        <v>175865.59000000003</v>
      </c>
      <c r="AE26" s="45">
        <v>11101.8</v>
      </c>
      <c r="AH26" s="45">
        <v>12074.91</v>
      </c>
      <c r="AI26" s="45">
        <v>109722.94</v>
      </c>
      <c r="AJ26" s="45">
        <v>158130.00000000003</v>
      </c>
      <c r="AK26" s="45">
        <v>32438.79</v>
      </c>
      <c r="AN26" s="45">
        <v>73304.72</v>
      </c>
      <c r="AO26" s="45">
        <v>741.02</v>
      </c>
      <c r="AP26" s="45">
        <v>20583.23</v>
      </c>
      <c r="AQ26" s="45">
        <v>24321.79</v>
      </c>
      <c r="AR26" s="45">
        <v>49999.999999999993</v>
      </c>
      <c r="AS26" s="45">
        <v>1383</v>
      </c>
      <c r="AT26" s="45">
        <v>10285</v>
      </c>
      <c r="AU26" s="45">
        <v>1867.73</v>
      </c>
      <c r="AV26" s="45">
        <v>1098.67</v>
      </c>
      <c r="AX26" s="45">
        <v>25000</v>
      </c>
      <c r="AY26" s="45">
        <v>3826.4</v>
      </c>
      <c r="BA26" s="45">
        <v>7635.2900000000009</v>
      </c>
      <c r="BC26" s="45">
        <v>10000</v>
      </c>
      <c r="BD26" s="45">
        <v>1867.7300000000005</v>
      </c>
      <c r="BE26" s="45">
        <v>294.08999999999997</v>
      </c>
      <c r="BF26" s="45">
        <v>196320.97999999998</v>
      </c>
      <c r="BG26" s="45">
        <v>122103.98</v>
      </c>
      <c r="BH26" s="45">
        <v>147800</v>
      </c>
      <c r="BI26" s="45">
        <v>239604.72000000003</v>
      </c>
      <c r="BL26" s="2">
        <f t="shared" si="1"/>
        <v>3464007.09</v>
      </c>
      <c r="BN26" s="341">
        <v>1053.3599999999999</v>
      </c>
      <c r="BO26" s="341">
        <v>250489.8</v>
      </c>
      <c r="BP26" s="341">
        <v>138.27000000000001</v>
      </c>
      <c r="BQ26" s="341"/>
      <c r="BR26" s="341"/>
      <c r="BS26" s="341">
        <v>13475</v>
      </c>
      <c r="BT26" s="341"/>
      <c r="BU26" s="341"/>
      <c r="BV26" s="341"/>
      <c r="BW26" s="341"/>
      <c r="BX26" s="341"/>
      <c r="BY26" s="341">
        <v>3352.23</v>
      </c>
      <c r="BZ26" s="341"/>
      <c r="CA26" s="341"/>
      <c r="CB26" s="347"/>
      <c r="CC26" s="341"/>
      <c r="CD26" s="341"/>
      <c r="CE26" s="341"/>
      <c r="CF26" s="341">
        <v>1076.5</v>
      </c>
      <c r="CG26" s="341"/>
      <c r="CH26" s="341">
        <v>163395.63</v>
      </c>
      <c r="CI26" s="341"/>
      <c r="CJ26" s="341"/>
      <c r="CK26" s="341"/>
      <c r="CL26" s="341"/>
      <c r="CM26" s="341"/>
      <c r="CN26" s="341"/>
      <c r="CO26" s="341">
        <v>80000</v>
      </c>
      <c r="CP26" s="347">
        <v>2706</v>
      </c>
      <c r="CQ26" s="341"/>
      <c r="CR26" s="342">
        <f t="shared" si="0"/>
        <v>515686.78999999992</v>
      </c>
    </row>
    <row r="27" spans="1:96" x14ac:dyDescent="0.25">
      <c r="A27" s="45" t="s">
        <v>361</v>
      </c>
      <c r="B27" s="45">
        <v>-52668.800000000003</v>
      </c>
      <c r="C27" s="45">
        <v>-16321.41</v>
      </c>
      <c r="D27" s="45">
        <v>188612</v>
      </c>
      <c r="E27" s="45">
        <v>19772.289999999997</v>
      </c>
      <c r="G27" s="45">
        <v>663.44</v>
      </c>
      <c r="I27" s="45">
        <v>87290.03</v>
      </c>
      <c r="J27" s="45">
        <v>226799.86</v>
      </c>
      <c r="M27" s="45">
        <v>750.29</v>
      </c>
      <c r="N27" s="45">
        <v>12695.74</v>
      </c>
      <c r="O27" s="45">
        <v>3648929</v>
      </c>
      <c r="P27" s="45">
        <v>220</v>
      </c>
      <c r="Q27" s="45">
        <v>334255.52</v>
      </c>
      <c r="R27" s="45">
        <v>938428.50999999978</v>
      </c>
      <c r="S27" s="45">
        <v>1813355.52</v>
      </c>
      <c r="T27" s="45">
        <v>730356.49</v>
      </c>
      <c r="U27" s="45">
        <v>73532.12999999999</v>
      </c>
      <c r="V27" s="45">
        <v>702243.07000000007</v>
      </c>
      <c r="W27" s="45">
        <v>6374.329999999999</v>
      </c>
      <c r="X27" s="45">
        <v>24680.970000000008</v>
      </c>
      <c r="Y27" s="45">
        <v>142344.64000000001</v>
      </c>
      <c r="Z27" s="45">
        <v>780433.52999999991</v>
      </c>
      <c r="AA27" s="45">
        <v>21003.34</v>
      </c>
      <c r="AB27" s="45">
        <v>10705.98</v>
      </c>
      <c r="AC27" s="45">
        <v>16671.91</v>
      </c>
      <c r="AD27" s="45">
        <v>959717.89</v>
      </c>
      <c r="AE27" s="45">
        <v>158199.29999999999</v>
      </c>
      <c r="AF27" s="45">
        <v>44692.639999999999</v>
      </c>
      <c r="AH27" s="45">
        <v>17840.09</v>
      </c>
      <c r="AI27" s="45">
        <v>399289.91000000003</v>
      </c>
      <c r="AJ27" s="45">
        <v>595344</v>
      </c>
      <c r="AK27" s="45">
        <v>122128.88</v>
      </c>
      <c r="AN27" s="45">
        <v>343408.7300000001</v>
      </c>
      <c r="AO27" s="45">
        <v>4199.1099999999997</v>
      </c>
      <c r="AP27" s="45">
        <v>80300.820000000007</v>
      </c>
      <c r="AQ27" s="45">
        <v>97147.54</v>
      </c>
      <c r="AR27" s="45">
        <v>55824.38</v>
      </c>
      <c r="AS27" s="45">
        <v>6522.25</v>
      </c>
      <c r="AT27" s="45">
        <v>8891</v>
      </c>
      <c r="AU27" s="45">
        <v>18285.98</v>
      </c>
      <c r="AV27" s="45">
        <v>4351.8599999999997</v>
      </c>
      <c r="AX27" s="45">
        <v>6555</v>
      </c>
      <c r="AY27" s="45">
        <v>15083.99</v>
      </c>
      <c r="AZ27" s="45">
        <v>352</v>
      </c>
      <c r="BA27" s="45">
        <v>88039.680000000008</v>
      </c>
      <c r="BC27" s="45">
        <v>10000</v>
      </c>
      <c r="BD27" s="45">
        <v>26907.980000000003</v>
      </c>
      <c r="BE27" s="45">
        <v>588.17999999999995</v>
      </c>
      <c r="BF27" s="45">
        <v>978698.5399999998</v>
      </c>
      <c r="BG27" s="45">
        <v>122103.98000000001</v>
      </c>
      <c r="BH27" s="45">
        <v>367316</v>
      </c>
      <c r="BL27" s="2">
        <f t="shared" si="1"/>
        <v>14242918.110000003</v>
      </c>
      <c r="BN27" s="341">
        <v>7547.41</v>
      </c>
      <c r="BO27" s="341">
        <v>720245.02000000025</v>
      </c>
      <c r="BP27" s="341">
        <v>1108.3699999999999</v>
      </c>
      <c r="BQ27" s="341"/>
      <c r="BR27" s="341">
        <v>115000</v>
      </c>
      <c r="BS27" s="341">
        <v>56375</v>
      </c>
      <c r="BT27" s="341"/>
      <c r="BU27" s="341"/>
      <c r="BV27" s="341"/>
      <c r="BW27" s="341"/>
      <c r="BX27" s="341"/>
      <c r="BY27" s="341">
        <v>21789.5</v>
      </c>
      <c r="BZ27" s="341"/>
      <c r="CA27" s="341"/>
      <c r="CB27" s="347"/>
      <c r="CC27" s="341"/>
      <c r="CD27" s="341"/>
      <c r="CE27" s="341">
        <v>144292.5</v>
      </c>
      <c r="CF27" s="341">
        <v>1076.5</v>
      </c>
      <c r="CG27" s="341"/>
      <c r="CH27" s="341">
        <v>396612.74000000005</v>
      </c>
      <c r="CI27" s="341"/>
      <c r="CJ27" s="341"/>
      <c r="CK27" s="341"/>
      <c r="CL27" s="341"/>
      <c r="CM27" s="341"/>
      <c r="CN27" s="341"/>
      <c r="CO27" s="341">
        <v>200000</v>
      </c>
      <c r="CP27" s="347">
        <v>14580</v>
      </c>
      <c r="CQ27" s="341"/>
      <c r="CR27" s="342">
        <f t="shared" si="0"/>
        <v>1678627.0400000003</v>
      </c>
    </row>
    <row r="28" spans="1:96" x14ac:dyDescent="0.25">
      <c r="A28" s="45" t="s">
        <v>362</v>
      </c>
      <c r="B28" s="45">
        <v>-24707.06</v>
      </c>
      <c r="C28" s="45">
        <v>-2426.87</v>
      </c>
      <c r="D28" s="45">
        <v>141459</v>
      </c>
      <c r="E28" s="45">
        <v>7971.8900000000012</v>
      </c>
      <c r="G28" s="45">
        <v>663.44</v>
      </c>
      <c r="I28" s="45">
        <v>29096.68</v>
      </c>
      <c r="J28" s="45">
        <v>123268.32000000002</v>
      </c>
      <c r="N28" s="45">
        <v>7859.27</v>
      </c>
      <c r="O28" s="45">
        <v>1760344</v>
      </c>
      <c r="P28" s="45">
        <v>55</v>
      </c>
      <c r="Q28" s="45">
        <v>163226.15000000002</v>
      </c>
      <c r="R28" s="45">
        <v>509501.89</v>
      </c>
      <c r="S28" s="45">
        <v>963033.70000000007</v>
      </c>
      <c r="T28" s="45">
        <v>491501.54999999993</v>
      </c>
      <c r="U28" s="45">
        <v>1669.0600000000002</v>
      </c>
      <c r="V28" s="45">
        <v>166387.75</v>
      </c>
      <c r="W28" s="45">
        <v>6669.3600000000006</v>
      </c>
      <c r="X28" s="45">
        <v>4707.78</v>
      </c>
      <c r="Y28" s="45">
        <v>28592.85</v>
      </c>
      <c r="Z28" s="45">
        <v>371476.22000000009</v>
      </c>
      <c r="AA28" s="45">
        <v>21646.560000000001</v>
      </c>
      <c r="AB28" s="45">
        <v>11861.76</v>
      </c>
      <c r="AC28" s="45">
        <v>18831.12</v>
      </c>
      <c r="AD28" s="45">
        <v>499555.55000000005</v>
      </c>
      <c r="AE28" s="45">
        <v>70524.400000000009</v>
      </c>
      <c r="AG28" s="45">
        <v>27973.000000000004</v>
      </c>
      <c r="AH28" s="45">
        <v>13257.21</v>
      </c>
      <c r="AI28" s="45">
        <v>130069.07999999999</v>
      </c>
      <c r="AJ28" s="45">
        <v>314917</v>
      </c>
      <c r="AK28" s="45">
        <v>64602.080000000002</v>
      </c>
      <c r="AN28" s="45">
        <v>148225.87000000002</v>
      </c>
      <c r="AO28" s="45">
        <v>494.01</v>
      </c>
      <c r="AP28" s="45">
        <v>17456.019999999997</v>
      </c>
      <c r="AQ28" s="45">
        <v>39255.960000000014</v>
      </c>
      <c r="AR28" s="45">
        <v>100000.00000000001</v>
      </c>
      <c r="AS28" s="45">
        <v>3081.75</v>
      </c>
      <c r="AT28" s="45">
        <v>2996.25</v>
      </c>
      <c r="AU28" s="45">
        <v>8077.08</v>
      </c>
      <c r="AV28" s="45">
        <v>2003.92</v>
      </c>
      <c r="AZ28" s="45">
        <v>1632</v>
      </c>
      <c r="BA28" s="45">
        <v>71516.73000000001</v>
      </c>
      <c r="BC28" s="45">
        <v>32739.85</v>
      </c>
      <c r="BD28" s="45">
        <v>23654.29</v>
      </c>
      <c r="BF28" s="45">
        <v>364368.38999999996</v>
      </c>
      <c r="BG28" s="45">
        <v>61051.990000000005</v>
      </c>
      <c r="BH28" s="45">
        <v>92303</v>
      </c>
      <c r="BL28" s="2">
        <f t="shared" si="1"/>
        <v>6892444.8499999987</v>
      </c>
      <c r="BN28" s="341"/>
      <c r="BO28" s="341">
        <v>293676.63</v>
      </c>
      <c r="BP28" s="341">
        <v>278.64</v>
      </c>
      <c r="BQ28" s="341"/>
      <c r="BR28" s="341"/>
      <c r="BS28" s="341">
        <v>26400</v>
      </c>
      <c r="BT28" s="341"/>
      <c r="BU28" s="341">
        <v>2408.2199999999998</v>
      </c>
      <c r="BV28" s="341"/>
      <c r="BW28" s="341"/>
      <c r="BX28" s="341"/>
      <c r="BY28" s="341">
        <v>5028.3500000000004</v>
      </c>
      <c r="BZ28" s="341">
        <v>275</v>
      </c>
      <c r="CA28" s="341"/>
      <c r="CB28" s="347"/>
      <c r="CC28" s="341"/>
      <c r="CD28" s="341"/>
      <c r="CE28" s="341">
        <v>73749.499999999985</v>
      </c>
      <c r="CF28" s="341">
        <v>1076.5</v>
      </c>
      <c r="CG28" s="341"/>
      <c r="CH28" s="341">
        <v>168841.04</v>
      </c>
      <c r="CI28" s="341">
        <v>190871.29</v>
      </c>
      <c r="CJ28" s="341">
        <v>1046.08</v>
      </c>
      <c r="CK28" s="341"/>
      <c r="CL28" s="341">
        <v>294.79000000000002</v>
      </c>
      <c r="CM28" s="341">
        <v>2428.1999999999998</v>
      </c>
      <c r="CN28" s="341"/>
      <c r="CO28" s="341"/>
      <c r="CP28" s="347">
        <v>7042</v>
      </c>
      <c r="CQ28" s="341"/>
      <c r="CR28" s="342">
        <f t="shared" si="0"/>
        <v>773416.24</v>
      </c>
    </row>
    <row r="29" spans="1:96" x14ac:dyDescent="0.25">
      <c r="A29" s="45" t="s">
        <v>363</v>
      </c>
      <c r="B29" s="45">
        <v>-135735.01999999999</v>
      </c>
      <c r="C29" s="45">
        <v>-25044.240000000002</v>
      </c>
      <c r="D29" s="45">
        <v>235765.00000000003</v>
      </c>
      <c r="E29" s="45">
        <v>40864.499999999993</v>
      </c>
      <c r="F29" s="45">
        <v>11628.97</v>
      </c>
      <c r="G29" s="45">
        <v>1282.6500000000001</v>
      </c>
      <c r="I29" s="45">
        <v>174580.06</v>
      </c>
      <c r="J29" s="45">
        <v>773548.45</v>
      </c>
      <c r="N29" s="45">
        <v>53201.2</v>
      </c>
      <c r="O29" s="45">
        <v>5843504</v>
      </c>
      <c r="P29" s="45">
        <v>715</v>
      </c>
      <c r="Q29" s="45">
        <v>571514.14999999991</v>
      </c>
      <c r="R29" s="45">
        <v>1771685.35</v>
      </c>
      <c r="S29" s="45">
        <v>2984921.68</v>
      </c>
      <c r="T29" s="45">
        <v>979663.20000000019</v>
      </c>
      <c r="U29" s="45">
        <v>55390.689999999995</v>
      </c>
      <c r="V29" s="45">
        <v>880926.24</v>
      </c>
      <c r="W29" s="45">
        <v>4865.3999999999996</v>
      </c>
      <c r="X29" s="45">
        <v>38242.709999999992</v>
      </c>
      <c r="Y29" s="45">
        <v>49487.560000000005</v>
      </c>
      <c r="Z29" s="45">
        <v>1301596.0399999998</v>
      </c>
      <c r="AA29" s="45">
        <v>47956.490000000005</v>
      </c>
      <c r="AB29" s="45">
        <v>89329.389999999985</v>
      </c>
      <c r="AC29" s="45">
        <v>16025.19</v>
      </c>
      <c r="AD29" s="45">
        <v>1543794.1900000002</v>
      </c>
      <c r="AE29" s="45">
        <v>251044.33000000002</v>
      </c>
      <c r="AH29" s="45">
        <v>25742.9</v>
      </c>
      <c r="AI29" s="45">
        <v>763971.54999999993</v>
      </c>
      <c r="AJ29" s="45">
        <v>1147657</v>
      </c>
      <c r="AK29" s="45">
        <v>235430.39</v>
      </c>
      <c r="AN29" s="45">
        <v>593357.4</v>
      </c>
      <c r="AO29" s="45">
        <v>13585.36</v>
      </c>
      <c r="AP29" s="45">
        <v>111641.72000000002</v>
      </c>
      <c r="AQ29" s="45">
        <v>186793.56000000003</v>
      </c>
      <c r="AR29" s="45">
        <v>175605.82000000004</v>
      </c>
      <c r="AS29" s="45">
        <v>10910.25</v>
      </c>
      <c r="AT29" s="45">
        <v>9668.75</v>
      </c>
      <c r="AU29" s="45">
        <v>20601.39</v>
      </c>
      <c r="AV29" s="45">
        <v>8031.56</v>
      </c>
      <c r="AX29" s="45">
        <v>79827.790000000008</v>
      </c>
      <c r="AY29" s="45">
        <v>28945.88</v>
      </c>
      <c r="BA29" s="45">
        <v>231157.43999999997</v>
      </c>
      <c r="BC29" s="45">
        <v>43624.85</v>
      </c>
      <c r="BD29" s="45">
        <v>70310.099999999991</v>
      </c>
      <c r="BE29" s="45">
        <v>588.17999999999995</v>
      </c>
      <c r="BF29" s="45">
        <v>1507694.9800000002</v>
      </c>
      <c r="BG29" s="45">
        <v>305259.95</v>
      </c>
      <c r="BH29" s="45">
        <v>60000</v>
      </c>
      <c r="BL29" s="2">
        <f t="shared" si="1"/>
        <v>23191159.999999996</v>
      </c>
      <c r="BN29" s="341">
        <v>8053.4000000000005</v>
      </c>
      <c r="BO29" s="341">
        <v>1352424.4500000002</v>
      </c>
      <c r="BP29" s="341">
        <v>1164.49</v>
      </c>
      <c r="BQ29" s="341"/>
      <c r="BR29" s="341">
        <v>460000</v>
      </c>
      <c r="BS29" s="341">
        <v>102575</v>
      </c>
      <c r="BT29" s="341">
        <v>12000</v>
      </c>
      <c r="BU29" s="341">
        <v>5650.14</v>
      </c>
      <c r="BV29" s="341"/>
      <c r="BW29" s="341"/>
      <c r="BX29" s="341"/>
      <c r="BY29" s="341">
        <v>112299.73</v>
      </c>
      <c r="BZ29" s="341"/>
      <c r="CA29" s="341"/>
      <c r="CB29" s="347"/>
      <c r="CC29" s="341"/>
      <c r="CD29" s="341"/>
      <c r="CE29" s="341">
        <v>106201.43000000001</v>
      </c>
      <c r="CF29" s="341">
        <v>1076.5</v>
      </c>
      <c r="CG29" s="341"/>
      <c r="CH29" s="341">
        <v>1043079.4800000001</v>
      </c>
      <c r="CI29" s="341">
        <v>262182.33</v>
      </c>
      <c r="CJ29" s="341">
        <v>25400.52</v>
      </c>
      <c r="CK29" s="341"/>
      <c r="CL29" s="341"/>
      <c r="CM29" s="341">
        <v>24030.52</v>
      </c>
      <c r="CN29" s="341"/>
      <c r="CO29" s="341"/>
      <c r="CP29" s="347">
        <v>23223</v>
      </c>
      <c r="CQ29" s="341"/>
      <c r="CR29" s="342">
        <f t="shared" si="0"/>
        <v>3539360.99</v>
      </c>
    </row>
    <row r="30" spans="1:96" x14ac:dyDescent="0.25">
      <c r="A30" s="45" t="s">
        <v>364</v>
      </c>
      <c r="B30" s="45">
        <v>-93927.97</v>
      </c>
      <c r="C30" s="45">
        <v>-18513.63</v>
      </c>
      <c r="D30" s="45">
        <v>377224</v>
      </c>
      <c r="E30" s="45">
        <v>70512.350000000006</v>
      </c>
      <c r="F30" s="45">
        <v>1134</v>
      </c>
      <c r="G30" s="45">
        <v>1923.98</v>
      </c>
      <c r="I30" s="45">
        <v>407353.46</v>
      </c>
      <c r="J30" s="45">
        <v>1013882.5199999998</v>
      </c>
      <c r="M30" s="45">
        <v>2054.5</v>
      </c>
      <c r="N30" s="45">
        <v>55014.879999999997</v>
      </c>
      <c r="O30" s="45">
        <v>11317235</v>
      </c>
      <c r="P30" s="45">
        <v>220</v>
      </c>
      <c r="Q30" s="45">
        <v>1159852.1800000002</v>
      </c>
      <c r="R30" s="45">
        <v>3457928.59</v>
      </c>
      <c r="S30" s="45">
        <v>6124334.2899999991</v>
      </c>
      <c r="T30" s="45">
        <v>2606681.1700000004</v>
      </c>
      <c r="U30" s="45">
        <v>86137.91</v>
      </c>
      <c r="V30" s="45">
        <v>1301658.21</v>
      </c>
      <c r="W30" s="45">
        <v>15870.459999999997</v>
      </c>
      <c r="X30" s="45">
        <v>122608.19</v>
      </c>
      <c r="Y30" s="45">
        <v>285668.3</v>
      </c>
      <c r="Z30" s="45">
        <v>2266671.9700000002</v>
      </c>
      <c r="AA30" s="45">
        <v>130197.59999999998</v>
      </c>
      <c r="AB30" s="45">
        <v>50434.040000000008</v>
      </c>
      <c r="AC30" s="45">
        <v>81184.23000000001</v>
      </c>
      <c r="AD30" s="45">
        <v>2563911.3099999996</v>
      </c>
      <c r="AE30" s="45">
        <v>620349.97</v>
      </c>
      <c r="AG30" s="45">
        <v>12000</v>
      </c>
      <c r="AH30" s="45">
        <v>37797.46</v>
      </c>
      <c r="AI30" s="45">
        <v>1269868.0500000003</v>
      </c>
      <c r="AJ30" s="45">
        <v>2220465</v>
      </c>
      <c r="AK30" s="45">
        <v>455506.24999999994</v>
      </c>
      <c r="AN30" s="45">
        <v>1056217.51</v>
      </c>
      <c r="AO30" s="45">
        <v>9386.25</v>
      </c>
      <c r="AP30" s="45">
        <v>199133.74000000002</v>
      </c>
      <c r="AQ30" s="45">
        <v>320014.23000000004</v>
      </c>
      <c r="AR30" s="45">
        <v>185646.16999999998</v>
      </c>
      <c r="AS30" s="45">
        <v>20087.5</v>
      </c>
      <c r="AT30" s="45">
        <v>25189.75</v>
      </c>
      <c r="AU30" s="45">
        <v>39479.869999999995</v>
      </c>
      <c r="AV30" s="45">
        <v>14779.24</v>
      </c>
      <c r="AY30" s="45">
        <v>56576.84</v>
      </c>
      <c r="AZ30" s="45">
        <v>9696</v>
      </c>
      <c r="BA30" s="45">
        <v>364459.81</v>
      </c>
      <c r="BB30" s="45">
        <v>42527</v>
      </c>
      <c r="BC30" s="45">
        <v>80173.600000000006</v>
      </c>
      <c r="BD30" s="45">
        <v>56341.070000000007</v>
      </c>
      <c r="BE30" s="45">
        <v>588.17999999999995</v>
      </c>
      <c r="BF30" s="45">
        <v>2787686.6799999997</v>
      </c>
      <c r="BG30" s="45">
        <v>608635.99</v>
      </c>
      <c r="BH30" s="45">
        <v>460000</v>
      </c>
      <c r="BL30" s="2">
        <f t="shared" si="1"/>
        <v>44339857.70000001</v>
      </c>
      <c r="BN30" s="341">
        <v>16234.220000000001</v>
      </c>
      <c r="BO30" s="341">
        <v>4055767.59</v>
      </c>
      <c r="BP30" s="341">
        <v>2438.83</v>
      </c>
      <c r="BQ30" s="341"/>
      <c r="BR30" s="341">
        <v>200000</v>
      </c>
      <c r="BS30" s="341">
        <v>191125</v>
      </c>
      <c r="BT30" s="341">
        <v>12000</v>
      </c>
      <c r="BU30" s="341"/>
      <c r="BV30" s="341"/>
      <c r="BW30" s="341"/>
      <c r="BX30" s="341">
        <v>28048</v>
      </c>
      <c r="BY30" s="341">
        <v>129060.88</v>
      </c>
      <c r="BZ30" s="341"/>
      <c r="CA30" s="341"/>
      <c r="CB30" s="347"/>
      <c r="CC30" s="341"/>
      <c r="CD30" s="341"/>
      <c r="CE30" s="341">
        <v>323856.49999999994</v>
      </c>
      <c r="CF30" s="341">
        <v>1076.5</v>
      </c>
      <c r="CG30" s="341"/>
      <c r="CH30" s="341">
        <v>1373746</v>
      </c>
      <c r="CI30" s="341">
        <v>395950.45999999996</v>
      </c>
      <c r="CJ30" s="341">
        <v>3976.4</v>
      </c>
      <c r="CK30" s="341"/>
      <c r="CL30" s="341"/>
      <c r="CM30" s="341">
        <v>29999.649999999998</v>
      </c>
      <c r="CN30" s="341">
        <v>10000</v>
      </c>
      <c r="CO30" s="341"/>
      <c r="CP30" s="347">
        <v>44944</v>
      </c>
      <c r="CQ30" s="341"/>
      <c r="CR30" s="342">
        <f t="shared" si="0"/>
        <v>6818224.0300000012</v>
      </c>
    </row>
    <row r="31" spans="1:96" x14ac:dyDescent="0.25">
      <c r="A31" s="45" t="s">
        <v>365</v>
      </c>
      <c r="B31" s="45">
        <v>-28050.050000000003</v>
      </c>
      <c r="C31" s="45">
        <v>-4617.13</v>
      </c>
      <c r="D31" s="45">
        <v>188612</v>
      </c>
      <c r="E31" s="45">
        <v>11388.499999999998</v>
      </c>
      <c r="G31" s="45">
        <v>663.44</v>
      </c>
      <c r="I31" s="45">
        <v>29096.68</v>
      </c>
      <c r="J31" s="45">
        <v>104293.31000000001</v>
      </c>
      <c r="N31" s="45">
        <v>4836.47</v>
      </c>
      <c r="O31" s="45">
        <v>2073112</v>
      </c>
      <c r="Q31" s="45">
        <v>240828.07999999996</v>
      </c>
      <c r="R31" s="45">
        <v>646825.97</v>
      </c>
      <c r="S31" s="45">
        <v>1156764.8800000001</v>
      </c>
      <c r="T31" s="45">
        <v>225273.2</v>
      </c>
      <c r="U31" s="45">
        <v>34578.54</v>
      </c>
      <c r="V31" s="45">
        <v>165846.10000000003</v>
      </c>
      <c r="Y31" s="45">
        <v>22819.659999999996</v>
      </c>
      <c r="Z31" s="45">
        <v>318057.13</v>
      </c>
      <c r="AA31" s="45">
        <v>5606.7399999999989</v>
      </c>
      <c r="AB31" s="45">
        <v>16820.22</v>
      </c>
      <c r="AC31" s="45">
        <v>8726.4500000000007</v>
      </c>
      <c r="AD31" s="45">
        <v>914182.45</v>
      </c>
      <c r="AE31" s="45">
        <v>106135.4</v>
      </c>
      <c r="AH31" s="45">
        <v>14438.6</v>
      </c>
      <c r="AI31" s="45">
        <v>185773.15</v>
      </c>
      <c r="AJ31" s="45">
        <v>307024</v>
      </c>
      <c r="AK31" s="45">
        <v>62982.909999999989</v>
      </c>
      <c r="AN31" s="45">
        <v>156159.75</v>
      </c>
      <c r="AO31" s="45">
        <v>247.01</v>
      </c>
      <c r="AP31" s="45">
        <v>22662.86</v>
      </c>
      <c r="AQ31" s="45">
        <v>51053.989999999983</v>
      </c>
      <c r="AR31" s="45">
        <v>49999.999999999993</v>
      </c>
      <c r="AS31" s="45">
        <v>3008</v>
      </c>
      <c r="AT31" s="45">
        <v>6355</v>
      </c>
      <c r="AU31" s="45">
        <v>4986.84</v>
      </c>
      <c r="AV31" s="45">
        <v>2416.56</v>
      </c>
      <c r="AZ31" s="45">
        <v>3264</v>
      </c>
      <c r="BA31" s="45">
        <v>69287.98000000001</v>
      </c>
      <c r="BB31" s="45">
        <v>46046</v>
      </c>
      <c r="BC31" s="45">
        <v>10000</v>
      </c>
      <c r="BD31" s="45">
        <v>3708.7400000000002</v>
      </c>
      <c r="BE31" s="45">
        <v>588.17999999999995</v>
      </c>
      <c r="BF31" s="45">
        <v>474042.35</v>
      </c>
      <c r="BG31" s="45">
        <v>122103.98000000001</v>
      </c>
      <c r="BH31" s="45">
        <v>326000</v>
      </c>
      <c r="BL31" s="2">
        <f t="shared" si="1"/>
        <v>8163949.9400000004</v>
      </c>
      <c r="BN31" s="341">
        <v>1306.2199999999998</v>
      </c>
      <c r="BO31" s="341"/>
      <c r="BP31" s="341">
        <v>319.3</v>
      </c>
      <c r="BQ31" s="341"/>
      <c r="BR31" s="341"/>
      <c r="BS31" s="341">
        <v>26950</v>
      </c>
      <c r="BT31" s="341"/>
      <c r="BU31" s="341"/>
      <c r="BV31" s="341"/>
      <c r="BW31" s="341"/>
      <c r="BX31" s="341"/>
      <c r="BY31" s="341">
        <v>11732.810000000001</v>
      </c>
      <c r="BZ31" s="341"/>
      <c r="CA31" s="341"/>
      <c r="CB31" s="347"/>
      <c r="CC31" s="341"/>
      <c r="CD31" s="341"/>
      <c r="CE31" s="341">
        <v>28858.499999999993</v>
      </c>
      <c r="CF31" s="341">
        <v>1076.5</v>
      </c>
      <c r="CG31" s="341"/>
      <c r="CH31" s="341">
        <v>265856.14999999997</v>
      </c>
      <c r="CI31" s="341"/>
      <c r="CJ31" s="341"/>
      <c r="CK31" s="341"/>
      <c r="CL31" s="341"/>
      <c r="CM31" s="341"/>
      <c r="CN31" s="341"/>
      <c r="CO31" s="341"/>
      <c r="CP31" s="347">
        <v>8159</v>
      </c>
      <c r="CQ31" s="341"/>
      <c r="CR31" s="342">
        <f t="shared" si="0"/>
        <v>344258.48</v>
      </c>
    </row>
    <row r="32" spans="1:96" x14ac:dyDescent="0.25">
      <c r="A32" s="45" t="s">
        <v>366</v>
      </c>
      <c r="B32" s="45">
        <v>-8155.56</v>
      </c>
      <c r="C32" s="45">
        <v>-7179.68</v>
      </c>
      <c r="D32" s="45">
        <v>282918</v>
      </c>
      <c r="E32" s="45">
        <v>30171.870000000006</v>
      </c>
      <c r="G32" s="45">
        <v>641.33000000000004</v>
      </c>
      <c r="I32" s="45">
        <v>145483.38</v>
      </c>
      <c r="J32" s="45">
        <v>298492.86</v>
      </c>
      <c r="M32" s="45">
        <v>13009.23</v>
      </c>
      <c r="N32" s="45">
        <v>18741.330000000002</v>
      </c>
      <c r="O32" s="45">
        <v>5140504.9999999991</v>
      </c>
      <c r="P32" s="45">
        <v>220</v>
      </c>
      <c r="Q32" s="45">
        <v>682203.98</v>
      </c>
      <c r="R32" s="45">
        <v>1751789.6900000002</v>
      </c>
      <c r="S32" s="45">
        <v>3112212.2800000003</v>
      </c>
      <c r="T32" s="45">
        <v>1667069.1800000002</v>
      </c>
      <c r="U32" s="45">
        <v>64836.25</v>
      </c>
      <c r="V32" s="45">
        <v>135408.34</v>
      </c>
      <c r="W32" s="45">
        <v>15380.55</v>
      </c>
      <c r="X32" s="45">
        <v>20372.860000000004</v>
      </c>
      <c r="Y32" s="45">
        <v>187264.59999999998</v>
      </c>
      <c r="Z32" s="45">
        <v>586394.17999999982</v>
      </c>
      <c r="AA32" s="45">
        <v>10919.340000000002</v>
      </c>
      <c r="AB32" s="45">
        <v>8042.94</v>
      </c>
      <c r="AC32" s="45">
        <v>1911.95</v>
      </c>
      <c r="AD32" s="45">
        <v>785002.99999999988</v>
      </c>
      <c r="AE32" s="45">
        <v>139933.29</v>
      </c>
      <c r="AH32" s="45">
        <v>21742.68</v>
      </c>
      <c r="AI32" s="45">
        <v>580856.29</v>
      </c>
      <c r="AJ32" s="45">
        <v>759727.99999999988</v>
      </c>
      <c r="AK32" s="45">
        <v>155850.62000000005</v>
      </c>
      <c r="AN32" s="45">
        <v>517096.72</v>
      </c>
      <c r="AO32" s="45">
        <v>2223.06</v>
      </c>
      <c r="AP32" s="45">
        <v>116289.65999999997</v>
      </c>
      <c r="AQ32" s="45">
        <v>128683.58000000002</v>
      </c>
      <c r="AR32" s="45">
        <v>131126.07000000004</v>
      </c>
      <c r="AS32" s="45">
        <v>8278</v>
      </c>
      <c r="AT32" s="45">
        <v>14455</v>
      </c>
      <c r="AU32" s="45">
        <v>8497.5399999999991</v>
      </c>
      <c r="AV32" s="45">
        <v>6026.82</v>
      </c>
      <c r="AX32" s="45">
        <v>2764.37</v>
      </c>
      <c r="AY32" s="45">
        <v>24858.880000000001</v>
      </c>
      <c r="AZ32" s="45">
        <v>4352</v>
      </c>
      <c r="BA32" s="45">
        <v>95958.499999999985</v>
      </c>
      <c r="BC32" s="45">
        <v>25430.1</v>
      </c>
      <c r="BD32" s="45">
        <v>38111.480000000003</v>
      </c>
      <c r="BE32" s="45">
        <v>588.17999999999995</v>
      </c>
      <c r="BF32" s="45">
        <v>1579162.0999999999</v>
      </c>
      <c r="BG32" s="45">
        <v>305259.95</v>
      </c>
      <c r="BH32" s="45">
        <v>350031</v>
      </c>
      <c r="BL32" s="2">
        <f t="shared" si="1"/>
        <v>19960960.789999995</v>
      </c>
      <c r="BN32" s="341">
        <v>411.77</v>
      </c>
      <c r="BO32" s="341"/>
      <c r="BP32" s="341">
        <v>908.86999999999989</v>
      </c>
      <c r="BQ32" s="341"/>
      <c r="BR32" s="341">
        <v>225000</v>
      </c>
      <c r="BS32" s="341">
        <v>70950</v>
      </c>
      <c r="BT32" s="341"/>
      <c r="BU32" s="341"/>
      <c r="BV32" s="341"/>
      <c r="BW32" s="341"/>
      <c r="BX32" s="341"/>
      <c r="BY32" s="341">
        <v>35198.42</v>
      </c>
      <c r="BZ32" s="341"/>
      <c r="CA32" s="341"/>
      <c r="CB32" s="347"/>
      <c r="CC32" s="341"/>
      <c r="CD32" s="341"/>
      <c r="CE32" s="341">
        <v>105814.5</v>
      </c>
      <c r="CF32" s="341">
        <v>1076.5</v>
      </c>
      <c r="CG32" s="341"/>
      <c r="CH32" s="341">
        <v>547614.22000000009</v>
      </c>
      <c r="CI32" s="341">
        <v>149647.43000000002</v>
      </c>
      <c r="CJ32" s="341">
        <v>818.67</v>
      </c>
      <c r="CK32" s="341"/>
      <c r="CL32" s="341"/>
      <c r="CM32" s="341"/>
      <c r="CN32" s="341"/>
      <c r="CO32" s="341">
        <v>240000</v>
      </c>
      <c r="CP32" s="347">
        <v>20363</v>
      </c>
      <c r="CQ32" s="341"/>
      <c r="CR32" s="342">
        <f t="shared" si="0"/>
        <v>1397803.38</v>
      </c>
    </row>
    <row r="33" spans="1:96" x14ac:dyDescent="0.25">
      <c r="A33" s="45" t="s">
        <v>367</v>
      </c>
      <c r="B33" s="45">
        <v>-151901.09000000003</v>
      </c>
      <c r="C33" s="45">
        <v>-12640.68</v>
      </c>
      <c r="D33" s="45">
        <v>1084519</v>
      </c>
      <c r="E33" s="45">
        <v>184801.25</v>
      </c>
      <c r="G33" s="45">
        <v>2565.31</v>
      </c>
      <c r="I33" s="45">
        <v>436450.14</v>
      </c>
      <c r="J33" s="45">
        <v>1535223.8500000003</v>
      </c>
      <c r="M33" s="45">
        <v>4204.37</v>
      </c>
      <c r="N33" s="45">
        <v>77988.13</v>
      </c>
      <c r="O33" s="45">
        <v>31455277</v>
      </c>
      <c r="P33" s="45">
        <v>750</v>
      </c>
      <c r="Q33" s="45">
        <v>3247663.4299999997</v>
      </c>
      <c r="R33" s="45">
        <v>10039659.540000001</v>
      </c>
      <c r="S33" s="45">
        <v>18739010.920000002</v>
      </c>
      <c r="T33" s="45">
        <v>4298814.47</v>
      </c>
      <c r="U33" s="45">
        <v>214140.44</v>
      </c>
      <c r="V33" s="45">
        <v>4118283.9700000007</v>
      </c>
      <c r="W33" s="45">
        <v>72343.360000000001</v>
      </c>
      <c r="X33" s="45">
        <v>277691.93000000005</v>
      </c>
      <c r="Y33" s="45">
        <v>164791.20000000001</v>
      </c>
      <c r="Z33" s="45">
        <v>4530559.1399999997</v>
      </c>
      <c r="AA33" s="45">
        <v>200819.41999999995</v>
      </c>
      <c r="AB33" s="45">
        <v>163479.58999999997</v>
      </c>
      <c r="AC33" s="45">
        <v>115389.6</v>
      </c>
      <c r="AD33" s="45">
        <v>12583174.120000001</v>
      </c>
      <c r="AE33" s="45">
        <v>1736609.4799999997</v>
      </c>
      <c r="AF33" s="45">
        <v>222436.59</v>
      </c>
      <c r="AG33" s="45">
        <v>59780</v>
      </c>
      <c r="AH33" s="45">
        <v>83023.600000000006</v>
      </c>
      <c r="AI33" s="45">
        <v>2266686.4299999997</v>
      </c>
      <c r="AJ33" s="45">
        <v>5370310</v>
      </c>
      <c r="AK33" s="45">
        <v>1101665.53</v>
      </c>
      <c r="AN33" s="45">
        <v>2235061.36</v>
      </c>
      <c r="AO33" s="45">
        <v>29393.77</v>
      </c>
      <c r="AP33" s="45">
        <v>366817.05000000005</v>
      </c>
      <c r="AQ33" s="45">
        <v>807907.8600000001</v>
      </c>
      <c r="AR33" s="45">
        <v>549609.06000000006</v>
      </c>
      <c r="AS33" s="45">
        <v>52679.5</v>
      </c>
      <c r="AT33" s="45">
        <v>73010.75</v>
      </c>
      <c r="AU33" s="45">
        <v>122266.41999999998</v>
      </c>
      <c r="AV33" s="45">
        <v>39028.800000000003</v>
      </c>
      <c r="AX33" s="45">
        <v>324185.46999999997</v>
      </c>
      <c r="AZ33" s="45">
        <v>49211</v>
      </c>
      <c r="BA33" s="45">
        <v>1522325.58</v>
      </c>
      <c r="BB33" s="45">
        <v>54978</v>
      </c>
      <c r="BC33" s="45">
        <v>26916.85</v>
      </c>
      <c r="BD33" s="45">
        <v>388502.27999999997</v>
      </c>
      <c r="BE33" s="45">
        <v>2646.81</v>
      </c>
      <c r="BF33" s="45">
        <v>5328918.3</v>
      </c>
      <c r="BG33" s="45">
        <v>914973.85999999987</v>
      </c>
      <c r="BH33" s="45">
        <v>100000</v>
      </c>
      <c r="BL33" s="2">
        <f t="shared" si="1"/>
        <v>117212002.76000001</v>
      </c>
      <c r="BN33" s="341">
        <v>20468.14</v>
      </c>
      <c r="BO33" s="341">
        <v>5384071.5099999998</v>
      </c>
      <c r="BP33" s="341">
        <v>2634.46</v>
      </c>
      <c r="BQ33" s="341"/>
      <c r="BR33" s="341">
        <v>140000</v>
      </c>
      <c r="BS33" s="341">
        <v>464750</v>
      </c>
      <c r="BT33" s="341"/>
      <c r="BU33" s="341">
        <v>1531.89</v>
      </c>
      <c r="BV33" s="341">
        <v>10000</v>
      </c>
      <c r="BW33" s="341">
        <v>66667</v>
      </c>
      <c r="BX33" s="341"/>
      <c r="BY33" s="341">
        <v>127384.77</v>
      </c>
      <c r="BZ33" s="341"/>
      <c r="CA33" s="341">
        <v>10000</v>
      </c>
      <c r="CB33" s="347"/>
      <c r="CC33" s="341"/>
      <c r="CD33" s="341"/>
      <c r="CE33" s="341">
        <v>1190978.3600000001</v>
      </c>
      <c r="CF33" s="341">
        <v>1076.5</v>
      </c>
      <c r="CG33" s="341">
        <v>726763.26</v>
      </c>
      <c r="CH33" s="341"/>
      <c r="CI33" s="341">
        <v>411155.65000000008</v>
      </c>
      <c r="CJ33" s="341">
        <v>13458.5</v>
      </c>
      <c r="CK33" s="341"/>
      <c r="CL33" s="341"/>
      <c r="CM33" s="341"/>
      <c r="CN33" s="341"/>
      <c r="CO33" s="341"/>
      <c r="CP33" s="347">
        <v>125133</v>
      </c>
      <c r="CQ33" s="341"/>
      <c r="CR33" s="342">
        <f t="shared" si="0"/>
        <v>8696073.0399999991</v>
      </c>
    </row>
    <row r="34" spans="1:96" x14ac:dyDescent="0.25">
      <c r="A34" s="45" t="s">
        <v>368</v>
      </c>
      <c r="B34" s="45">
        <v>-32938.870000000003</v>
      </c>
      <c r="C34" s="45">
        <v>-6367.28</v>
      </c>
      <c r="D34" s="45">
        <v>94306</v>
      </c>
      <c r="E34" s="45">
        <v>17129.79</v>
      </c>
      <c r="G34" s="45">
        <v>663.44</v>
      </c>
      <c r="I34" s="45">
        <v>87290.03</v>
      </c>
      <c r="J34" s="45">
        <v>308224.67000000004</v>
      </c>
      <c r="M34" s="45">
        <v>390.92</v>
      </c>
      <c r="N34" s="45">
        <v>19345.89</v>
      </c>
      <c r="O34" s="45">
        <v>2442908.9999999995</v>
      </c>
      <c r="Q34" s="45">
        <v>237499.57000000004</v>
      </c>
      <c r="R34" s="45">
        <v>705477.00000000012</v>
      </c>
      <c r="S34" s="45">
        <v>1196949.92</v>
      </c>
      <c r="T34" s="45">
        <v>436530.15</v>
      </c>
      <c r="U34" s="45">
        <v>21135.83</v>
      </c>
      <c r="V34" s="45">
        <v>311660.7</v>
      </c>
      <c r="W34" s="45">
        <v>1751</v>
      </c>
      <c r="X34" s="45">
        <v>10276.080000000002</v>
      </c>
      <c r="Y34" s="45">
        <v>83305.25</v>
      </c>
      <c r="Z34" s="45">
        <v>694634.94000000006</v>
      </c>
      <c r="AA34" s="45">
        <v>13265.169999999998</v>
      </c>
      <c r="AB34" s="45">
        <v>9037.9999999999982</v>
      </c>
      <c r="AD34" s="45">
        <v>692371.02000000014</v>
      </c>
      <c r="AE34" s="45">
        <v>109411.11</v>
      </c>
      <c r="AH34" s="45">
        <v>16499.8</v>
      </c>
      <c r="AI34" s="45">
        <v>289288.16999999993</v>
      </c>
      <c r="AJ34" s="45">
        <v>706559.00000000023</v>
      </c>
      <c r="AK34" s="45">
        <v>144943.53000000003</v>
      </c>
      <c r="AN34" s="45">
        <v>210385.56</v>
      </c>
      <c r="AO34" s="45">
        <v>2470.0700000000002</v>
      </c>
      <c r="AP34" s="45">
        <v>32647.56</v>
      </c>
      <c r="AQ34" s="45">
        <v>77897.75</v>
      </c>
      <c r="AR34" s="45">
        <v>100000.00000000001</v>
      </c>
      <c r="AS34" s="45">
        <v>5205.25</v>
      </c>
      <c r="AT34" s="45">
        <v>2945.25</v>
      </c>
      <c r="AU34" s="45">
        <v>9508.26</v>
      </c>
      <c r="AV34" s="45">
        <v>3349.68</v>
      </c>
      <c r="AY34" s="45">
        <v>12532.4</v>
      </c>
      <c r="BA34" s="45">
        <v>39848.560000000005</v>
      </c>
      <c r="BC34" s="45">
        <v>67617.8</v>
      </c>
      <c r="BD34" s="45">
        <v>16466.5</v>
      </c>
      <c r="BE34" s="45">
        <v>294.08999999999997</v>
      </c>
      <c r="BF34" s="45">
        <v>584091.86999999988</v>
      </c>
      <c r="BG34" s="45">
        <v>122103.98</v>
      </c>
      <c r="BH34" s="45">
        <v>60000</v>
      </c>
      <c r="BL34" s="2">
        <f t="shared" si="1"/>
        <v>9958914.410000002</v>
      </c>
      <c r="BN34" s="341">
        <v>247.2</v>
      </c>
      <c r="BO34" s="341">
        <v>816450.46</v>
      </c>
      <c r="BP34" s="341">
        <v>554.02</v>
      </c>
      <c r="BQ34" s="341"/>
      <c r="BR34" s="341">
        <v>75000</v>
      </c>
      <c r="BS34" s="341">
        <v>57200</v>
      </c>
      <c r="BT34" s="341"/>
      <c r="BU34" s="341"/>
      <c r="BV34" s="341"/>
      <c r="BW34" s="341"/>
      <c r="BX34" s="341">
        <v>17000</v>
      </c>
      <c r="BY34" s="341">
        <v>11732.810000000001</v>
      </c>
      <c r="BZ34" s="341"/>
      <c r="CA34" s="341"/>
      <c r="CB34" s="347"/>
      <c r="CC34" s="341"/>
      <c r="CD34" s="341"/>
      <c r="CE34" s="341">
        <v>128260.00000000001</v>
      </c>
      <c r="CF34" s="341">
        <v>1076.5</v>
      </c>
      <c r="CG34" s="341"/>
      <c r="CH34" s="341">
        <v>445755.04</v>
      </c>
      <c r="CI34" s="341"/>
      <c r="CJ34" s="341"/>
      <c r="CK34" s="341">
        <v>18353.88</v>
      </c>
      <c r="CL34" s="341"/>
      <c r="CM34" s="341">
        <v>6289.92</v>
      </c>
      <c r="CN34" s="341"/>
      <c r="CO34" s="341"/>
      <c r="CP34" s="347">
        <v>9610</v>
      </c>
      <c r="CQ34" s="341"/>
      <c r="CR34" s="342">
        <f t="shared" si="0"/>
        <v>1587529.8299999998</v>
      </c>
    </row>
    <row r="35" spans="1:96" x14ac:dyDescent="0.25">
      <c r="A35" s="45" t="s">
        <v>369</v>
      </c>
      <c r="B35" s="45">
        <v>-47459.73</v>
      </c>
      <c r="C35" s="45">
        <v>-9070.2099999999991</v>
      </c>
      <c r="D35" s="45">
        <v>141459</v>
      </c>
      <c r="E35" s="45">
        <v>26011.880000000005</v>
      </c>
      <c r="G35" s="45">
        <v>641.33000000000004</v>
      </c>
      <c r="I35" s="45">
        <v>116386.69999999998</v>
      </c>
      <c r="J35" s="45">
        <v>472609.3600000001</v>
      </c>
      <c r="M35" s="45">
        <v>6014.66</v>
      </c>
      <c r="N35" s="45">
        <v>27205.16</v>
      </c>
      <c r="O35" s="45">
        <v>3823966.9999999991</v>
      </c>
      <c r="Q35" s="45">
        <v>403852.18999999994</v>
      </c>
      <c r="R35" s="45">
        <v>1288528.5299999998</v>
      </c>
      <c r="S35" s="45">
        <v>2466950.61</v>
      </c>
      <c r="T35" s="45">
        <v>160191.17000000004</v>
      </c>
      <c r="U35" s="45">
        <v>47201.25</v>
      </c>
      <c r="V35" s="45">
        <v>407669.92999999993</v>
      </c>
      <c r="W35" s="45">
        <v>2496.09</v>
      </c>
      <c r="X35" s="45">
        <v>30831.210000000003</v>
      </c>
      <c r="Y35" s="45">
        <v>140331.16000000003</v>
      </c>
      <c r="Z35" s="45">
        <v>637486.80000000005</v>
      </c>
      <c r="AA35" s="45">
        <v>22983.61</v>
      </c>
      <c r="AD35" s="45">
        <v>1488767.4899999998</v>
      </c>
      <c r="AE35" s="45">
        <v>85031.659999999989</v>
      </c>
      <c r="AH35" s="45">
        <v>20376.29</v>
      </c>
      <c r="AI35" s="45">
        <v>386390.8</v>
      </c>
      <c r="AJ35" s="45">
        <v>842000.00000000012</v>
      </c>
      <c r="AK35" s="45">
        <v>172727.90000000002</v>
      </c>
      <c r="AN35" s="45">
        <v>356670.22000000003</v>
      </c>
      <c r="AO35" s="45">
        <v>2717.07</v>
      </c>
      <c r="AP35" s="45">
        <v>48433.08</v>
      </c>
      <c r="AQ35" s="45">
        <v>109356.66999999998</v>
      </c>
      <c r="AR35" s="45">
        <v>95784.989999999976</v>
      </c>
      <c r="AS35" s="45">
        <v>5796</v>
      </c>
      <c r="AT35" s="45">
        <v>7390.75</v>
      </c>
      <c r="AU35" s="45">
        <v>17719.75</v>
      </c>
      <c r="AV35" s="45">
        <v>4860.3100000000004</v>
      </c>
      <c r="AY35" s="45">
        <v>18589.21</v>
      </c>
      <c r="AZ35" s="45">
        <v>3127</v>
      </c>
      <c r="BA35" s="45">
        <v>91259.6</v>
      </c>
      <c r="BC35" s="45">
        <v>30258.45</v>
      </c>
      <c r="BD35" s="45">
        <v>48454.549999999996</v>
      </c>
      <c r="BE35" s="45">
        <v>588.17999999999995</v>
      </c>
      <c r="BF35" s="45">
        <v>800223.13000000012</v>
      </c>
      <c r="BG35" s="45">
        <v>244207.96000000002</v>
      </c>
      <c r="BH35" s="45">
        <v>204524</v>
      </c>
      <c r="BI35" s="45">
        <v>71718.899999999994</v>
      </c>
      <c r="BL35" s="2">
        <f t="shared" si="1"/>
        <v>15323261.660000004</v>
      </c>
      <c r="BN35" s="341">
        <v>19337.82</v>
      </c>
      <c r="BO35" s="341">
        <v>947989.03</v>
      </c>
      <c r="BP35" s="341">
        <v>639.39</v>
      </c>
      <c r="BQ35" s="341"/>
      <c r="BR35" s="341"/>
      <c r="BS35" s="341">
        <v>75350</v>
      </c>
      <c r="BT35" s="341"/>
      <c r="BU35" s="341"/>
      <c r="BV35" s="341">
        <v>25000</v>
      </c>
      <c r="BW35" s="341"/>
      <c r="BX35" s="341"/>
      <c r="BY35" s="341">
        <v>41902.879999999997</v>
      </c>
      <c r="BZ35" s="341"/>
      <c r="CA35" s="341"/>
      <c r="CB35" s="347"/>
      <c r="CC35" s="341"/>
      <c r="CD35" s="341"/>
      <c r="CE35" s="341">
        <v>57716.999999999993</v>
      </c>
      <c r="CF35" s="341">
        <v>1076.5</v>
      </c>
      <c r="CG35" s="341"/>
      <c r="CH35" s="341">
        <v>492959.69999999995</v>
      </c>
      <c r="CI35" s="341">
        <v>181889.81</v>
      </c>
      <c r="CJ35" s="341">
        <v>4608.99</v>
      </c>
      <c r="CK35" s="341"/>
      <c r="CL35" s="341"/>
      <c r="CM35" s="341"/>
      <c r="CN35" s="341"/>
      <c r="CO35" s="341"/>
      <c r="CP35" s="347">
        <v>15167</v>
      </c>
      <c r="CQ35" s="341"/>
      <c r="CR35" s="342">
        <f t="shared" si="0"/>
        <v>1863638.1199999999</v>
      </c>
    </row>
    <row r="36" spans="1:96" x14ac:dyDescent="0.25">
      <c r="A36" s="45" t="s">
        <v>370</v>
      </c>
      <c r="B36" s="45">
        <v>-25362.13</v>
      </c>
      <c r="C36" s="45">
        <v>-21794.52</v>
      </c>
      <c r="D36" s="45">
        <v>141459</v>
      </c>
      <c r="E36" s="45">
        <v>17213.05</v>
      </c>
      <c r="G36" s="45">
        <v>641.33000000000004</v>
      </c>
      <c r="I36" s="45">
        <v>145483.38</v>
      </c>
      <c r="J36" s="45">
        <v>442657.35</v>
      </c>
      <c r="M36" s="45">
        <v>630.77</v>
      </c>
      <c r="N36" s="45">
        <v>25391.48</v>
      </c>
      <c r="O36" s="45">
        <v>1686827.9999999998</v>
      </c>
      <c r="P36" s="45">
        <v>313</v>
      </c>
      <c r="Q36" s="45">
        <v>157703.85</v>
      </c>
      <c r="R36" s="45">
        <v>472066.56999999995</v>
      </c>
      <c r="S36" s="45">
        <v>896105.40000000014</v>
      </c>
      <c r="T36" s="45">
        <v>338518.24</v>
      </c>
      <c r="U36" s="45">
        <v>16466.670000000002</v>
      </c>
      <c r="V36" s="45">
        <v>330862.39</v>
      </c>
      <c r="W36" s="45">
        <v>14442.71</v>
      </c>
      <c r="X36" s="45">
        <v>37987.340000000004</v>
      </c>
      <c r="Y36" s="45">
        <v>29116.420000000006</v>
      </c>
      <c r="Z36" s="45">
        <v>275016.5</v>
      </c>
      <c r="AA36" s="45">
        <v>13373.330000000002</v>
      </c>
      <c r="AB36" s="45">
        <v>8480.8300000000017</v>
      </c>
      <c r="AC36" s="45">
        <v>2243.96</v>
      </c>
      <c r="AD36" s="45">
        <v>418090.64999999997</v>
      </c>
      <c r="AE36" s="45">
        <v>55911.880000000005</v>
      </c>
      <c r="AG36" s="45">
        <v>23499.999999999996</v>
      </c>
      <c r="AH36" s="45">
        <v>17065.23</v>
      </c>
      <c r="AI36" s="45">
        <v>358678.17</v>
      </c>
      <c r="AJ36" s="45">
        <v>882747.99999999977</v>
      </c>
      <c r="AK36" s="45">
        <v>181086.95000000004</v>
      </c>
      <c r="AN36" s="45">
        <v>160981.77999999997</v>
      </c>
      <c r="AO36" s="45">
        <v>5928.16</v>
      </c>
      <c r="AP36" s="45">
        <v>71925.580000000016</v>
      </c>
      <c r="AQ36" s="45">
        <v>86584.189999999988</v>
      </c>
      <c r="AR36" s="45">
        <v>79218.41</v>
      </c>
      <c r="AS36" s="45">
        <v>5247.5</v>
      </c>
      <c r="AT36" s="45">
        <v>7152.75</v>
      </c>
      <c r="AU36" s="45">
        <v>13947.720000000001</v>
      </c>
      <c r="AV36" s="45">
        <v>3990.86</v>
      </c>
      <c r="AY36" s="45">
        <v>13004.43</v>
      </c>
      <c r="AZ36" s="45">
        <v>3104</v>
      </c>
      <c r="BA36" s="45">
        <v>65921.679999999993</v>
      </c>
      <c r="BC36" s="45">
        <v>20233.650000000001</v>
      </c>
      <c r="BD36" s="45">
        <v>5785.880000000001</v>
      </c>
      <c r="BF36" s="45">
        <v>455434.9</v>
      </c>
      <c r="BG36" s="45">
        <v>241591.97</v>
      </c>
      <c r="BH36" s="45">
        <v>103500</v>
      </c>
      <c r="BL36" s="2">
        <f t="shared" si="1"/>
        <v>8286479.2600000016</v>
      </c>
      <c r="BN36" s="341"/>
      <c r="BO36" s="341">
        <v>1105583.1100000001</v>
      </c>
      <c r="BP36" s="341">
        <v>907.32</v>
      </c>
      <c r="BQ36" s="341"/>
      <c r="BR36" s="341"/>
      <c r="BS36" s="341">
        <v>74800</v>
      </c>
      <c r="BT36" s="341"/>
      <c r="BU36" s="341">
        <v>1481.96</v>
      </c>
      <c r="BV36" s="341"/>
      <c r="BW36" s="341"/>
      <c r="BX36" s="341"/>
      <c r="BY36" s="341">
        <v>26817.85</v>
      </c>
      <c r="BZ36" s="341"/>
      <c r="CA36" s="341"/>
      <c r="CB36" s="347"/>
      <c r="CC36" s="341"/>
      <c r="CD36" s="341"/>
      <c r="CE36" s="341">
        <v>102608</v>
      </c>
      <c r="CF36" s="341">
        <v>26912.5</v>
      </c>
      <c r="CG36" s="341"/>
      <c r="CH36" s="341">
        <v>665976.67000000004</v>
      </c>
      <c r="CI36" s="341">
        <v>72898.69</v>
      </c>
      <c r="CJ36" s="341">
        <v>240.4</v>
      </c>
      <c r="CK36" s="341"/>
      <c r="CL36" s="341"/>
      <c r="CM36" s="341"/>
      <c r="CN36" s="341"/>
      <c r="CO36" s="341"/>
      <c r="CP36" s="347">
        <v>6727</v>
      </c>
      <c r="CQ36" s="341"/>
      <c r="CR36" s="342">
        <f t="shared" si="0"/>
        <v>2084953.5</v>
      </c>
    </row>
    <row r="37" spans="1:96" x14ac:dyDescent="0.25">
      <c r="A37" s="45" t="s">
        <v>371</v>
      </c>
      <c r="B37" s="45">
        <v>-241284.19</v>
      </c>
      <c r="C37" s="45">
        <v>-31231.84</v>
      </c>
      <c r="D37" s="45">
        <v>707295</v>
      </c>
      <c r="E37" s="45">
        <v>118314.04000000001</v>
      </c>
      <c r="G37" s="45">
        <v>1923.98</v>
      </c>
      <c r="I37" s="45">
        <v>407353.46</v>
      </c>
      <c r="J37" s="45">
        <v>934484.68000000017</v>
      </c>
      <c r="M37" s="45">
        <v>3223.29</v>
      </c>
      <c r="N37" s="45">
        <v>41714.58</v>
      </c>
      <c r="O37" s="45">
        <v>18642256</v>
      </c>
      <c r="P37" s="45">
        <v>110</v>
      </c>
      <c r="Q37" s="45">
        <v>1953175.86</v>
      </c>
      <c r="R37" s="45">
        <v>5922855.25</v>
      </c>
      <c r="S37" s="45">
        <v>9910527.459999999</v>
      </c>
      <c r="T37" s="45">
        <v>2707566.5700000003</v>
      </c>
      <c r="U37" s="45">
        <v>233953.72999999998</v>
      </c>
      <c r="V37" s="45">
        <v>1829860.53</v>
      </c>
      <c r="W37" s="45">
        <v>33210.5</v>
      </c>
      <c r="X37" s="45">
        <v>278000.34000000003</v>
      </c>
      <c r="Y37" s="45">
        <v>237085.00999999995</v>
      </c>
      <c r="Z37" s="45">
        <v>4390826.4700000007</v>
      </c>
      <c r="AA37" s="45">
        <v>34823.58</v>
      </c>
      <c r="AB37" s="45">
        <v>110866.12999999999</v>
      </c>
      <c r="AC37" s="45">
        <v>76080.510000000009</v>
      </c>
      <c r="AD37" s="45">
        <v>6099705.8999999994</v>
      </c>
      <c r="AE37" s="45">
        <v>1187057.0900000001</v>
      </c>
      <c r="AG37" s="45">
        <v>23221.89</v>
      </c>
      <c r="AH37" s="45">
        <v>55992.15</v>
      </c>
      <c r="AI37" s="45">
        <v>1834603.5500000003</v>
      </c>
      <c r="AJ37" s="45">
        <v>3918714.0000000005</v>
      </c>
      <c r="AK37" s="45">
        <v>803885.08999999985</v>
      </c>
      <c r="AN37" s="45">
        <v>1644223.33</v>
      </c>
      <c r="AO37" s="45">
        <v>23712.62</v>
      </c>
      <c r="AP37" s="45">
        <v>228878.72000000003</v>
      </c>
      <c r="AQ37" s="45">
        <v>530873.68999999983</v>
      </c>
      <c r="AR37" s="45">
        <v>429526.41</v>
      </c>
      <c r="AS37" s="45">
        <v>32083.25</v>
      </c>
      <c r="AT37" s="45">
        <v>56405</v>
      </c>
      <c r="AU37" s="45">
        <v>90558.069999999992</v>
      </c>
      <c r="AV37" s="45">
        <v>23803.200000000001</v>
      </c>
      <c r="AX37" s="45">
        <v>301499.28000000003</v>
      </c>
      <c r="AY37" s="45">
        <v>81519.59</v>
      </c>
      <c r="AZ37" s="45">
        <v>32048</v>
      </c>
      <c r="BA37" s="45">
        <v>461208.42999999993</v>
      </c>
      <c r="BB37" s="45">
        <v>30464</v>
      </c>
      <c r="BC37" s="45">
        <v>22322.15</v>
      </c>
      <c r="BD37" s="45">
        <v>165103.62</v>
      </c>
      <c r="BE37" s="45">
        <v>4705.43</v>
      </c>
      <c r="BF37" s="45">
        <v>4024600.0700000003</v>
      </c>
      <c r="BG37" s="45">
        <v>876931.05000000016</v>
      </c>
      <c r="BH37" s="45">
        <v>168500</v>
      </c>
      <c r="BI37" s="45">
        <v>98962</v>
      </c>
      <c r="BL37" s="2">
        <f t="shared" si="1"/>
        <v>71554098.519999996</v>
      </c>
      <c r="BN37" s="341">
        <v>29591.75</v>
      </c>
      <c r="BO37" s="341">
        <v>3940733.73</v>
      </c>
      <c r="BP37" s="341">
        <v>3437.13</v>
      </c>
      <c r="BQ37" s="341"/>
      <c r="BR37" s="341">
        <v>800250</v>
      </c>
      <c r="BS37" s="341">
        <v>329175</v>
      </c>
      <c r="BT37" s="341"/>
      <c r="BU37" s="341">
        <v>3712.1400000000003</v>
      </c>
      <c r="BV37" s="341"/>
      <c r="BW37" s="341"/>
      <c r="BX37" s="341"/>
      <c r="BY37" s="341">
        <v>117328.07</v>
      </c>
      <c r="BZ37" s="341"/>
      <c r="CA37" s="341"/>
      <c r="CB37" s="347"/>
      <c r="CC37" s="341"/>
      <c r="CD37" s="341"/>
      <c r="CE37" s="341">
        <v>731082</v>
      </c>
      <c r="CF37" s="341">
        <v>1076.5</v>
      </c>
      <c r="CG37" s="341"/>
      <c r="CH37" s="341">
        <v>1743532.5899999999</v>
      </c>
      <c r="CI37" s="341">
        <v>320319.44</v>
      </c>
      <c r="CJ37" s="341">
        <v>7160.12</v>
      </c>
      <c r="CK37" s="341"/>
      <c r="CL37" s="341">
        <v>38748.78</v>
      </c>
      <c r="CM37" s="341"/>
      <c r="CN37" s="341"/>
      <c r="CO37" s="341"/>
      <c r="CP37" s="347">
        <v>73887</v>
      </c>
      <c r="CQ37" s="341"/>
      <c r="CR37" s="342">
        <f t="shared" si="0"/>
        <v>8140034.25</v>
      </c>
    </row>
    <row r="38" spans="1:96" x14ac:dyDescent="0.25">
      <c r="A38" s="45" t="s">
        <v>372</v>
      </c>
      <c r="B38" s="45">
        <v>-33584.29</v>
      </c>
      <c r="C38" s="45">
        <v>-3627.26</v>
      </c>
      <c r="D38" s="45">
        <v>141459</v>
      </c>
      <c r="E38" s="45">
        <v>7789.3700000000008</v>
      </c>
      <c r="G38" s="45">
        <v>663.44</v>
      </c>
      <c r="I38" s="45">
        <v>29096.68</v>
      </c>
      <c r="J38" s="45">
        <v>91482.68</v>
      </c>
      <c r="M38" s="45">
        <v>9050.33</v>
      </c>
      <c r="N38" s="45">
        <v>6650.15</v>
      </c>
      <c r="O38" s="45">
        <v>1540248</v>
      </c>
      <c r="P38" s="45">
        <v>56</v>
      </c>
      <c r="Q38" s="45">
        <v>144815.35999999999</v>
      </c>
      <c r="R38" s="45">
        <v>370604.85000000003</v>
      </c>
      <c r="S38" s="45">
        <v>722642.44</v>
      </c>
      <c r="T38" s="45">
        <v>89812.02</v>
      </c>
      <c r="V38" s="45">
        <v>271694.38</v>
      </c>
      <c r="W38" s="45">
        <v>1493.82</v>
      </c>
      <c r="X38" s="45">
        <v>11177.980000000001</v>
      </c>
      <c r="Y38" s="45">
        <v>7556.72</v>
      </c>
      <c r="Z38" s="45">
        <v>341898.00999999989</v>
      </c>
      <c r="AA38" s="45">
        <v>5597.34</v>
      </c>
      <c r="AC38" s="45">
        <v>11394.339999999998</v>
      </c>
      <c r="AD38" s="45">
        <v>834474.36</v>
      </c>
      <c r="AE38" s="45">
        <v>91245.189999999988</v>
      </c>
      <c r="AH38" s="45">
        <v>13104.57</v>
      </c>
      <c r="AI38" s="45">
        <v>139430.53999999998</v>
      </c>
      <c r="AJ38" s="45">
        <v>276397</v>
      </c>
      <c r="AK38" s="45">
        <v>56700.09</v>
      </c>
      <c r="AN38" s="45">
        <v>141145.57999999999</v>
      </c>
      <c r="AO38" s="45">
        <v>494.01</v>
      </c>
      <c r="AP38" s="45">
        <v>16075.02</v>
      </c>
      <c r="AQ38" s="45">
        <v>38221.509999999995</v>
      </c>
      <c r="AR38" s="45">
        <v>49999.999999999993</v>
      </c>
      <c r="AS38" s="45">
        <v>2577</v>
      </c>
      <c r="AT38" s="45">
        <v>3340.5</v>
      </c>
      <c r="AU38" s="45">
        <v>11291.65</v>
      </c>
      <c r="AV38" s="45">
        <v>1766.55</v>
      </c>
      <c r="AY38" s="45">
        <v>5416.37</v>
      </c>
      <c r="AZ38" s="45">
        <v>1248</v>
      </c>
      <c r="BA38" s="45">
        <v>19716.95</v>
      </c>
      <c r="BC38" s="45">
        <v>16265.5</v>
      </c>
      <c r="BD38" s="45">
        <v>17567.2</v>
      </c>
      <c r="BF38" s="45">
        <v>335535.61</v>
      </c>
      <c r="BG38" s="45">
        <v>61051.99</v>
      </c>
      <c r="BH38" s="45">
        <v>251250</v>
      </c>
      <c r="BL38" s="2">
        <f t="shared" si="1"/>
        <v>6152286.5500000007</v>
      </c>
      <c r="BN38" s="341">
        <v>1652.79</v>
      </c>
      <c r="BO38" s="341">
        <v>294664.38</v>
      </c>
      <c r="BP38" s="341">
        <v>251.02</v>
      </c>
      <c r="BQ38" s="341"/>
      <c r="BR38" s="341">
        <v>90000</v>
      </c>
      <c r="BS38" s="341">
        <v>23925</v>
      </c>
      <c r="BT38" s="341"/>
      <c r="BU38" s="341"/>
      <c r="BV38" s="341"/>
      <c r="BW38" s="341"/>
      <c r="BX38" s="341"/>
      <c r="BY38" s="341">
        <v>21789.5</v>
      </c>
      <c r="BZ38" s="341"/>
      <c r="CA38" s="341"/>
      <c r="CB38" s="347"/>
      <c r="CC38" s="341"/>
      <c r="CD38" s="341"/>
      <c r="CE38" s="341">
        <v>48097.5</v>
      </c>
      <c r="CF38" s="341">
        <v>1076.5</v>
      </c>
      <c r="CG38" s="341"/>
      <c r="CH38" s="341">
        <v>163262</v>
      </c>
      <c r="CI38" s="341"/>
      <c r="CJ38" s="341"/>
      <c r="CK38" s="341"/>
      <c r="CL38" s="341"/>
      <c r="CM38" s="341"/>
      <c r="CN38" s="341"/>
      <c r="CO38" s="341"/>
      <c r="CP38" s="347">
        <v>6122</v>
      </c>
      <c r="CQ38" s="341"/>
      <c r="CR38" s="342">
        <f t="shared" ref="CR38:CR70" si="2">SUM(BN38:CP38)</f>
        <v>650840.68999999994</v>
      </c>
    </row>
    <row r="39" spans="1:96" x14ac:dyDescent="0.25">
      <c r="A39" s="45" t="s">
        <v>373</v>
      </c>
      <c r="B39" s="45">
        <v>-55881.960000000006</v>
      </c>
      <c r="C39" s="45">
        <v>-8233.4500000000007</v>
      </c>
      <c r="D39" s="45">
        <v>235765.00000000003</v>
      </c>
      <c r="E39" s="45">
        <v>26665.57</v>
      </c>
      <c r="F39" s="45">
        <v>1774.8</v>
      </c>
      <c r="G39" s="45">
        <v>663.44</v>
      </c>
      <c r="I39" s="45">
        <v>145483.38</v>
      </c>
      <c r="J39" s="45">
        <v>247887.04999999993</v>
      </c>
      <c r="L39" s="45">
        <v>64</v>
      </c>
      <c r="M39" s="45">
        <v>1022.95</v>
      </c>
      <c r="N39" s="45">
        <v>13300.3</v>
      </c>
      <c r="O39" s="45">
        <v>4520762</v>
      </c>
      <c r="Q39" s="45">
        <v>495952.54</v>
      </c>
      <c r="R39" s="45">
        <v>1360042.61</v>
      </c>
      <c r="S39" s="45">
        <v>2296497.3800000004</v>
      </c>
      <c r="T39" s="45">
        <v>415068.12</v>
      </c>
      <c r="U39" s="45">
        <v>21417.989999999998</v>
      </c>
      <c r="V39" s="45">
        <v>474135.58999999997</v>
      </c>
      <c r="W39" s="45">
        <v>6692.88</v>
      </c>
      <c r="X39" s="45">
        <v>26940.480000000003</v>
      </c>
      <c r="Y39" s="45">
        <v>100370.59999999998</v>
      </c>
      <c r="Z39" s="45">
        <v>1513265.2499999998</v>
      </c>
      <c r="AA39" s="45">
        <v>16189.48</v>
      </c>
      <c r="AB39" s="45">
        <v>5396.4900000000007</v>
      </c>
      <c r="AC39" s="45">
        <v>12850.8</v>
      </c>
      <c r="AD39" s="45">
        <v>1292890.8999999999</v>
      </c>
      <c r="AE39" s="45">
        <v>186504.52999999997</v>
      </c>
      <c r="AG39" s="45">
        <v>3617.0000000000005</v>
      </c>
      <c r="AH39" s="45">
        <v>20133.02</v>
      </c>
      <c r="AI39" s="45">
        <v>502296.8899999999</v>
      </c>
      <c r="AJ39" s="45">
        <v>694621.00000000012</v>
      </c>
      <c r="AK39" s="45">
        <v>142494.57</v>
      </c>
      <c r="AN39" s="45">
        <v>466807.27</v>
      </c>
      <c r="AO39" s="45">
        <v>3952.1</v>
      </c>
      <c r="AP39" s="45">
        <v>96824.12</v>
      </c>
      <c r="AQ39" s="45">
        <v>117670.21999999997</v>
      </c>
      <c r="AR39" s="45">
        <v>49999.999999999993</v>
      </c>
      <c r="AS39" s="45">
        <v>6093.5</v>
      </c>
      <c r="AT39" s="45">
        <v>31320</v>
      </c>
      <c r="AU39" s="45">
        <v>27927.379999999997</v>
      </c>
      <c r="AV39" s="45">
        <v>4737.34</v>
      </c>
      <c r="AX39" s="45">
        <v>4131.22</v>
      </c>
      <c r="AY39" s="45">
        <v>20689.75</v>
      </c>
      <c r="AZ39" s="45">
        <v>4498</v>
      </c>
      <c r="BA39" s="45">
        <v>77314.759999999995</v>
      </c>
      <c r="BC39" s="45">
        <v>10000</v>
      </c>
      <c r="BD39" s="45">
        <v>51760.150000000009</v>
      </c>
      <c r="BE39" s="45">
        <v>588.17999999999995</v>
      </c>
      <c r="BF39" s="45">
        <v>1224479.3</v>
      </c>
      <c r="BG39" s="45">
        <v>305259.95</v>
      </c>
      <c r="BH39" s="45">
        <v>66850</v>
      </c>
      <c r="BL39" s="2">
        <f t="shared" si="1"/>
        <v>17287554.440000001</v>
      </c>
      <c r="BN39" s="341">
        <v>3001.37</v>
      </c>
      <c r="BO39" s="341">
        <v>913290.29</v>
      </c>
      <c r="BP39" s="341">
        <v>761.45</v>
      </c>
      <c r="BQ39" s="341"/>
      <c r="BR39" s="341">
        <v>225250</v>
      </c>
      <c r="BS39" s="341">
        <v>63250</v>
      </c>
      <c r="BT39" s="341"/>
      <c r="BU39" s="341">
        <v>2315.63</v>
      </c>
      <c r="BV39" s="341"/>
      <c r="BW39" s="341"/>
      <c r="BX39" s="341">
        <v>33161</v>
      </c>
      <c r="BY39" s="341">
        <v>48607.35</v>
      </c>
      <c r="BZ39" s="341"/>
      <c r="CA39" s="341">
        <v>10000</v>
      </c>
      <c r="CB39" s="347"/>
      <c r="CC39" s="341"/>
      <c r="CD39" s="341"/>
      <c r="CE39" s="341">
        <v>73749.51999999999</v>
      </c>
      <c r="CF39" s="341">
        <v>1076.5</v>
      </c>
      <c r="CG39" s="341"/>
      <c r="CH39" s="341">
        <v>539329.19000000006</v>
      </c>
      <c r="CI39" s="341">
        <v>138586.65000000002</v>
      </c>
      <c r="CJ39" s="341">
        <v>1676.33</v>
      </c>
      <c r="CK39" s="341"/>
      <c r="CL39" s="341"/>
      <c r="CM39" s="341">
        <v>9712.7999999999993</v>
      </c>
      <c r="CN39" s="341">
        <v>10000</v>
      </c>
      <c r="CO39" s="341">
        <v>254000</v>
      </c>
      <c r="CP39" s="347">
        <v>17980</v>
      </c>
      <c r="CQ39" s="341"/>
      <c r="CR39" s="342">
        <f t="shared" si="2"/>
        <v>2345748.08</v>
      </c>
    </row>
    <row r="40" spans="1:96" x14ac:dyDescent="0.25">
      <c r="A40" s="45" t="s">
        <v>374</v>
      </c>
      <c r="B40" s="45">
        <v>-10351.94</v>
      </c>
      <c r="C40" s="45">
        <v>-530.66999999999996</v>
      </c>
      <c r="D40" s="45">
        <v>94306</v>
      </c>
      <c r="E40" s="45">
        <v>4904.46</v>
      </c>
      <c r="G40" s="45">
        <v>663.44</v>
      </c>
      <c r="I40" s="45">
        <v>29096.68</v>
      </c>
      <c r="J40" s="45">
        <v>63573.21</v>
      </c>
      <c r="N40" s="45">
        <v>4836.47</v>
      </c>
      <c r="O40" s="45">
        <v>667510.99999999988</v>
      </c>
      <c r="Q40" s="45">
        <v>67365.150000000009</v>
      </c>
      <c r="R40" s="45">
        <v>214380.25</v>
      </c>
      <c r="S40" s="45">
        <v>344707.88999999996</v>
      </c>
      <c r="T40" s="45">
        <v>98697.030000000013</v>
      </c>
      <c r="U40" s="45">
        <v>1288.05</v>
      </c>
      <c r="V40" s="45">
        <v>74916.360000000015</v>
      </c>
      <c r="X40" s="45">
        <v>9821.3999999999978</v>
      </c>
      <c r="Y40" s="45">
        <v>26920.299999999996</v>
      </c>
      <c r="Z40" s="45">
        <v>188345.49000000002</v>
      </c>
      <c r="AC40" s="45">
        <v>9853.5999999999985</v>
      </c>
      <c r="AD40" s="45">
        <v>165476.74</v>
      </c>
      <c r="AE40" s="45">
        <v>42618.439999999995</v>
      </c>
      <c r="AH40" s="45">
        <v>11890.73</v>
      </c>
      <c r="AI40" s="45">
        <v>103861.97</v>
      </c>
      <c r="AJ40" s="45">
        <v>159096</v>
      </c>
      <c r="AK40" s="45">
        <v>32636.959999999999</v>
      </c>
      <c r="AN40" s="45">
        <v>77234.850000000006</v>
      </c>
      <c r="AO40" s="45">
        <v>1482.04</v>
      </c>
      <c r="AP40" s="45">
        <v>18549.660000000003</v>
      </c>
      <c r="AQ40" s="45">
        <v>23201.489999999998</v>
      </c>
      <c r="AR40" s="45">
        <v>49999.999999999993</v>
      </c>
      <c r="AS40" s="45">
        <v>1374.5</v>
      </c>
      <c r="AT40" s="45">
        <v>2750</v>
      </c>
      <c r="AU40" s="45">
        <v>1524.7799999999997</v>
      </c>
      <c r="AV40" s="45">
        <v>944.69</v>
      </c>
      <c r="AX40" s="45">
        <v>25000</v>
      </c>
      <c r="AY40" s="45">
        <v>3046.96</v>
      </c>
      <c r="AZ40" s="45">
        <v>656</v>
      </c>
      <c r="BA40" s="45">
        <v>13944.83</v>
      </c>
      <c r="BC40" s="45">
        <v>10417.700000000001</v>
      </c>
      <c r="BD40" s="45">
        <v>13959.27</v>
      </c>
      <c r="BF40" s="45">
        <v>199454.93999999997</v>
      </c>
      <c r="BG40" s="45">
        <v>61051.990000000005</v>
      </c>
      <c r="BH40" s="45">
        <v>152997</v>
      </c>
      <c r="BL40" s="2">
        <f t="shared" si="1"/>
        <v>3063475.7100000009</v>
      </c>
      <c r="BN40" s="341"/>
      <c r="BO40" s="341">
        <v>194154.54999999993</v>
      </c>
      <c r="BP40" s="341">
        <v>235.81</v>
      </c>
      <c r="BQ40" s="341"/>
      <c r="BR40" s="341">
        <v>450339.4</v>
      </c>
      <c r="BS40" s="341">
        <v>13750</v>
      </c>
      <c r="BT40" s="341"/>
      <c r="BU40" s="341"/>
      <c r="BV40" s="341"/>
      <c r="BW40" s="341"/>
      <c r="BX40" s="341"/>
      <c r="BY40" s="341">
        <v>15085.039999999999</v>
      </c>
      <c r="BZ40" s="341"/>
      <c r="CA40" s="341"/>
      <c r="CB40" s="347"/>
      <c r="CC40" s="341"/>
      <c r="CD40" s="341"/>
      <c r="CE40" s="341">
        <v>9619.5</v>
      </c>
      <c r="CF40" s="341">
        <v>1076.5</v>
      </c>
      <c r="CG40" s="341"/>
      <c r="CH40" s="341">
        <v>93006.22</v>
      </c>
      <c r="CI40" s="341"/>
      <c r="CJ40" s="341"/>
      <c r="CK40" s="341"/>
      <c r="CL40" s="341"/>
      <c r="CM40" s="341">
        <v>7217.28</v>
      </c>
      <c r="CN40" s="341"/>
      <c r="CO40" s="341"/>
      <c r="CP40" s="347">
        <v>2768</v>
      </c>
      <c r="CQ40" s="341"/>
      <c r="CR40" s="342">
        <f t="shared" si="2"/>
        <v>787252.3</v>
      </c>
    </row>
    <row r="41" spans="1:96" x14ac:dyDescent="0.25">
      <c r="A41" s="45" t="s">
        <v>375</v>
      </c>
      <c r="B41" s="45">
        <v>-47850.080000000002</v>
      </c>
      <c r="C41" s="45">
        <v>-10564.24</v>
      </c>
      <c r="D41" s="45">
        <v>188612</v>
      </c>
      <c r="E41" s="45">
        <v>8787.39</v>
      </c>
      <c r="G41" s="45">
        <v>663.44</v>
      </c>
      <c r="I41" s="45">
        <v>29096.68</v>
      </c>
      <c r="J41" s="45">
        <v>77804.469999999987</v>
      </c>
      <c r="N41" s="45">
        <v>6045.59</v>
      </c>
      <c r="O41" s="45">
        <v>1666330.9999999995</v>
      </c>
      <c r="P41" s="45">
        <v>110</v>
      </c>
      <c r="Q41" s="45">
        <v>183351.11000000002</v>
      </c>
      <c r="R41" s="45">
        <v>411126.88000000012</v>
      </c>
      <c r="S41" s="45">
        <v>797259.37</v>
      </c>
      <c r="T41" s="45">
        <v>412981.58999999997</v>
      </c>
      <c r="U41" s="45">
        <v>26716.619999999995</v>
      </c>
      <c r="V41" s="45">
        <v>404127.57</v>
      </c>
      <c r="W41" s="45">
        <v>7970.829999999999</v>
      </c>
      <c r="X41" s="45">
        <v>4106.8500000000004</v>
      </c>
      <c r="Y41" s="45">
        <v>19165.310000000001</v>
      </c>
      <c r="Z41" s="45">
        <v>452813.65</v>
      </c>
      <c r="AC41" s="45">
        <v>9008.5800000000017</v>
      </c>
      <c r="AD41" s="45">
        <v>351798.31000000011</v>
      </c>
      <c r="AE41" s="45">
        <v>53168.290000000008</v>
      </c>
      <c r="AH41" s="45">
        <v>13452.15</v>
      </c>
      <c r="AI41" s="45">
        <v>143916.11000000002</v>
      </c>
      <c r="AJ41" s="45">
        <v>295803</v>
      </c>
      <c r="AK41" s="45">
        <v>60681.040000000008</v>
      </c>
      <c r="AN41" s="45">
        <v>146764.79</v>
      </c>
      <c r="AO41" s="45">
        <v>494.01</v>
      </c>
      <c r="AP41" s="45">
        <v>17096.55</v>
      </c>
      <c r="AQ41" s="45">
        <v>40200.54</v>
      </c>
      <c r="AR41" s="45">
        <v>49999.999999999993</v>
      </c>
      <c r="AS41" s="45">
        <v>2363.5</v>
      </c>
      <c r="AT41" s="45">
        <v>4615</v>
      </c>
      <c r="AU41" s="45">
        <v>10333.370000000001</v>
      </c>
      <c r="AV41" s="45">
        <v>1787.39</v>
      </c>
      <c r="AY41" s="45">
        <v>6407.56</v>
      </c>
      <c r="AZ41" s="45">
        <v>936</v>
      </c>
      <c r="BA41" s="45">
        <v>43364.83</v>
      </c>
      <c r="BC41" s="45">
        <v>10000</v>
      </c>
      <c r="BD41" s="45">
        <v>11989.360000000002</v>
      </c>
      <c r="BE41" s="45">
        <v>294.08999999999997</v>
      </c>
      <c r="BF41" s="45">
        <v>365333.27</v>
      </c>
      <c r="BG41" s="45">
        <v>122103.98000000001</v>
      </c>
      <c r="BH41" s="45">
        <v>115744</v>
      </c>
      <c r="BL41" s="2">
        <f t="shared" si="1"/>
        <v>6516311.75</v>
      </c>
      <c r="BN41" s="341">
        <v>3368.96</v>
      </c>
      <c r="BO41" s="341">
        <v>342333.13</v>
      </c>
      <c r="BP41" s="341">
        <v>360.15999999999997</v>
      </c>
      <c r="BQ41" s="341"/>
      <c r="BR41" s="341"/>
      <c r="BS41" s="341">
        <v>25850</v>
      </c>
      <c r="BT41" s="341"/>
      <c r="BU41" s="341"/>
      <c r="BV41" s="341">
        <v>2500</v>
      </c>
      <c r="BW41" s="341"/>
      <c r="BX41" s="341"/>
      <c r="BY41" s="341">
        <v>8380.58</v>
      </c>
      <c r="BZ41" s="341"/>
      <c r="CA41" s="341"/>
      <c r="CB41" s="347"/>
      <c r="CC41" s="341"/>
      <c r="CD41" s="341"/>
      <c r="CE41" s="341">
        <v>134673</v>
      </c>
      <c r="CF41" s="341">
        <v>1076.5</v>
      </c>
      <c r="CG41" s="341"/>
      <c r="CH41" s="341">
        <v>129286.67</v>
      </c>
      <c r="CI41" s="341"/>
      <c r="CJ41" s="341"/>
      <c r="CK41" s="341"/>
      <c r="CL41" s="341"/>
      <c r="CM41" s="341"/>
      <c r="CN41" s="341"/>
      <c r="CO41" s="341"/>
      <c r="CP41" s="347">
        <v>6625</v>
      </c>
      <c r="CQ41" s="341"/>
      <c r="CR41" s="342">
        <f t="shared" si="2"/>
        <v>654454</v>
      </c>
    </row>
    <row r="42" spans="1:96" x14ac:dyDescent="0.25">
      <c r="A42" s="45" t="s">
        <v>376</v>
      </c>
      <c r="B42" s="45">
        <v>-112209.98000000001</v>
      </c>
      <c r="C42" s="45">
        <v>-27461.07</v>
      </c>
      <c r="D42" s="45">
        <v>518683.00000000006</v>
      </c>
      <c r="E42" s="45">
        <v>64070.969999999994</v>
      </c>
      <c r="G42" s="45">
        <v>1282.6500000000001</v>
      </c>
      <c r="I42" s="45">
        <v>320063.43</v>
      </c>
      <c r="J42" s="45">
        <v>786562.7</v>
      </c>
      <c r="N42" s="45">
        <v>49573.85</v>
      </c>
      <c r="O42" s="45">
        <v>5748134</v>
      </c>
      <c r="Q42" s="45">
        <v>580620.5</v>
      </c>
      <c r="R42" s="45">
        <v>1763655.0300000003</v>
      </c>
      <c r="S42" s="45">
        <v>3063647.83</v>
      </c>
      <c r="T42" s="45">
        <v>1167073.9500000002</v>
      </c>
      <c r="U42" s="45">
        <v>29206.009999999995</v>
      </c>
      <c r="V42" s="45">
        <v>488852.30000000005</v>
      </c>
      <c r="W42" s="45">
        <v>3262.3200000000006</v>
      </c>
      <c r="X42" s="45">
        <v>96837.19</v>
      </c>
      <c r="Y42" s="45">
        <v>52558.44</v>
      </c>
      <c r="Z42" s="45">
        <v>1580944.5300000003</v>
      </c>
      <c r="AA42" s="45">
        <v>54416.72</v>
      </c>
      <c r="AB42" s="45">
        <v>32685.13</v>
      </c>
      <c r="AC42" s="45">
        <v>22495.55</v>
      </c>
      <c r="AD42" s="45">
        <v>1597679.4</v>
      </c>
      <c r="AE42" s="45">
        <v>255369.37000000002</v>
      </c>
      <c r="AH42" s="45">
        <v>35534.36</v>
      </c>
      <c r="AI42" s="45">
        <v>1073494.3400000001</v>
      </c>
      <c r="AJ42" s="45">
        <v>2202245</v>
      </c>
      <c r="AK42" s="45">
        <v>451768.60000000003</v>
      </c>
      <c r="AN42" s="45">
        <v>515281.20999999996</v>
      </c>
      <c r="AO42" s="45">
        <v>9139.24</v>
      </c>
      <c r="AP42" s="45">
        <v>130473.06</v>
      </c>
      <c r="AQ42" s="45">
        <v>299968.43999999994</v>
      </c>
      <c r="AR42" s="45">
        <v>232936.24999999997</v>
      </c>
      <c r="AS42" s="45">
        <v>19657.75</v>
      </c>
      <c r="AT42" s="45">
        <v>19206</v>
      </c>
      <c r="AU42" s="45">
        <v>20802.45</v>
      </c>
      <c r="AV42" s="45">
        <v>14184.03</v>
      </c>
      <c r="AY42" s="45">
        <v>50359.67</v>
      </c>
      <c r="AZ42" s="45">
        <v>18803.2</v>
      </c>
      <c r="BA42" s="45">
        <v>211152.55999999994</v>
      </c>
      <c r="BC42" s="45">
        <v>18145.150000000001</v>
      </c>
      <c r="BD42" s="45">
        <v>73804.800000000003</v>
      </c>
      <c r="BE42" s="45">
        <v>588.17999999999995</v>
      </c>
      <c r="BF42" s="45">
        <v>1258945.3899999999</v>
      </c>
      <c r="BG42" s="45">
        <v>641045.9</v>
      </c>
      <c r="BH42" s="45">
        <v>60000</v>
      </c>
      <c r="BJ42" s="45">
        <v>45454.55</v>
      </c>
      <c r="BK42" s="45">
        <v>6818.19</v>
      </c>
      <c r="BL42" s="2">
        <f t="shared" si="1"/>
        <v>25547812.140000001</v>
      </c>
      <c r="BN42" s="341">
        <v>2844.37</v>
      </c>
      <c r="BO42" s="341">
        <v>2603762.4500000002</v>
      </c>
      <c r="BP42" s="341">
        <v>2305.98</v>
      </c>
      <c r="BQ42" s="341"/>
      <c r="BR42" s="341">
        <v>140000</v>
      </c>
      <c r="BS42" s="341">
        <v>184250</v>
      </c>
      <c r="BT42" s="341"/>
      <c r="BU42" s="341"/>
      <c r="BV42" s="341"/>
      <c r="BW42" s="341">
        <v>66667</v>
      </c>
      <c r="BX42" s="341"/>
      <c r="BY42" s="341">
        <v>98890.81</v>
      </c>
      <c r="BZ42" s="341"/>
      <c r="CA42" s="341"/>
      <c r="CB42" s="347"/>
      <c r="CC42" s="341"/>
      <c r="CD42" s="341"/>
      <c r="CE42" s="341">
        <v>700620.26</v>
      </c>
      <c r="CF42" s="341">
        <v>1076.5</v>
      </c>
      <c r="CG42" s="341"/>
      <c r="CH42" s="341">
        <v>1422487.41</v>
      </c>
      <c r="CI42" s="341">
        <v>210680.52000000002</v>
      </c>
      <c r="CJ42" s="341">
        <v>26611.95</v>
      </c>
      <c r="CK42" s="341"/>
      <c r="CL42" s="341"/>
      <c r="CM42" s="341"/>
      <c r="CN42" s="341"/>
      <c r="CO42" s="341"/>
      <c r="CP42" s="347">
        <v>22973</v>
      </c>
      <c r="CQ42" s="341"/>
      <c r="CR42" s="342">
        <f t="shared" si="2"/>
        <v>5483170.2500000009</v>
      </c>
    </row>
    <row r="43" spans="1:96" x14ac:dyDescent="0.25">
      <c r="A43" s="45" t="s">
        <v>377</v>
      </c>
      <c r="B43" s="45">
        <v>-780700.19</v>
      </c>
      <c r="C43" s="45">
        <v>-122273.31</v>
      </c>
      <c r="D43" s="45">
        <v>476245.00000000006</v>
      </c>
      <c r="E43" s="45">
        <v>562157.5199999999</v>
      </c>
      <c r="F43" s="45">
        <v>20640.580000000002</v>
      </c>
      <c r="G43" s="45">
        <v>14109.19</v>
      </c>
      <c r="H43" s="45">
        <v>24850</v>
      </c>
      <c r="I43" s="45">
        <v>1483930.4699999997</v>
      </c>
      <c r="J43" s="45">
        <v>4946586.1600000011</v>
      </c>
      <c r="N43" s="45">
        <v>209177.46</v>
      </c>
      <c r="O43" s="45">
        <v>82543160</v>
      </c>
      <c r="P43" s="45">
        <v>385</v>
      </c>
      <c r="Q43" s="45">
        <v>8919432.379999999</v>
      </c>
      <c r="R43" s="45">
        <v>26662451.729999997</v>
      </c>
      <c r="S43" s="45">
        <v>46102992.050000004</v>
      </c>
      <c r="T43" s="45">
        <v>16217738.639999999</v>
      </c>
      <c r="U43" s="45">
        <v>498424.96000000008</v>
      </c>
      <c r="V43" s="45">
        <v>10584890.600000001</v>
      </c>
      <c r="W43" s="45">
        <v>134548.04</v>
      </c>
      <c r="X43" s="45">
        <v>1086199.78</v>
      </c>
      <c r="Y43" s="45">
        <v>454940.89</v>
      </c>
      <c r="Z43" s="45">
        <v>17934132.780000005</v>
      </c>
      <c r="AA43" s="45">
        <v>351300.83000000007</v>
      </c>
      <c r="AB43" s="45">
        <v>355901.84</v>
      </c>
      <c r="AC43" s="45">
        <v>362379.34</v>
      </c>
      <c r="AD43" s="45">
        <v>20973579.600000001</v>
      </c>
      <c r="AE43" s="45">
        <v>5516469.4999999991</v>
      </c>
      <c r="AF43" s="45">
        <v>90274.75</v>
      </c>
      <c r="AH43" s="45">
        <v>226599.82</v>
      </c>
      <c r="AI43" s="45">
        <v>6895297.0799999982</v>
      </c>
      <c r="AJ43" s="45">
        <v>16633969.999999998</v>
      </c>
      <c r="AK43" s="45">
        <v>3412293.0400000005</v>
      </c>
      <c r="AN43" s="45">
        <v>5972258.4099999992</v>
      </c>
      <c r="AO43" s="45">
        <v>65456.72</v>
      </c>
      <c r="AP43" s="45">
        <v>1057882.8200000003</v>
      </c>
      <c r="AQ43" s="45">
        <v>2367080.12</v>
      </c>
      <c r="AR43" s="45">
        <v>1672723.23</v>
      </c>
      <c r="AS43" s="45">
        <v>140468.25</v>
      </c>
      <c r="AT43" s="45">
        <v>229160</v>
      </c>
      <c r="AU43" s="45">
        <v>215327.38000000003</v>
      </c>
      <c r="AV43" s="45">
        <v>107232.82</v>
      </c>
      <c r="AW43" s="45">
        <v>2400000</v>
      </c>
      <c r="AX43" s="45">
        <v>51820.31</v>
      </c>
      <c r="AY43" s="45">
        <v>339649.95</v>
      </c>
      <c r="AZ43" s="45">
        <v>154470.39999999999</v>
      </c>
      <c r="BA43" s="45">
        <v>4154948.74</v>
      </c>
      <c r="BB43" s="45">
        <v>44744</v>
      </c>
      <c r="BC43" s="45">
        <v>115051.47</v>
      </c>
      <c r="BD43" s="45">
        <v>2832726.0399999996</v>
      </c>
      <c r="BE43" s="45">
        <v>8234.51</v>
      </c>
      <c r="BF43" s="45">
        <v>14497681.739999998</v>
      </c>
      <c r="BG43" s="45">
        <v>2404966.02</v>
      </c>
      <c r="BH43" s="45">
        <v>516106</v>
      </c>
      <c r="BJ43" s="45">
        <v>45454.54</v>
      </c>
      <c r="BK43" s="45">
        <v>6818.17</v>
      </c>
      <c r="BL43" s="2">
        <f t="shared" si="1"/>
        <v>312192347.17000008</v>
      </c>
      <c r="BN43" s="341">
        <v>79795.91</v>
      </c>
      <c r="BO43" s="341">
        <v>16658002.720000003</v>
      </c>
      <c r="BP43" s="341">
        <v>7780.27</v>
      </c>
      <c r="BQ43" s="341"/>
      <c r="BR43" s="341">
        <v>810000</v>
      </c>
      <c r="BS43" s="341">
        <v>1365575</v>
      </c>
      <c r="BT43" s="341">
        <v>12000</v>
      </c>
      <c r="BU43" s="341">
        <v>4709.66</v>
      </c>
      <c r="BV43" s="341"/>
      <c r="BW43" s="341">
        <v>66667</v>
      </c>
      <c r="BX43" s="341">
        <v>33161</v>
      </c>
      <c r="BY43" s="341">
        <v>539709.14</v>
      </c>
      <c r="BZ43" s="341">
        <v>56175</v>
      </c>
      <c r="CA43" s="341">
        <v>20000</v>
      </c>
      <c r="CB43" s="347"/>
      <c r="CC43" s="341"/>
      <c r="CD43" s="341"/>
      <c r="CE43" s="341">
        <v>3747471.2399999998</v>
      </c>
      <c r="CF43" s="341">
        <v>10765</v>
      </c>
      <c r="CG43" s="341">
        <v>2442846.3899999997</v>
      </c>
      <c r="CH43" s="341"/>
      <c r="CI43" s="341">
        <v>914865.36</v>
      </c>
      <c r="CJ43" s="341">
        <v>14300.75</v>
      </c>
      <c r="CK43" s="341"/>
      <c r="CL43" s="341"/>
      <c r="CM43" s="341"/>
      <c r="CN43" s="341"/>
      <c r="CO43" s="341"/>
      <c r="CP43" s="347">
        <v>328149</v>
      </c>
      <c r="CQ43" s="341"/>
      <c r="CR43" s="342">
        <f t="shared" si="2"/>
        <v>27111973.440000001</v>
      </c>
    </row>
    <row r="44" spans="1:96" x14ac:dyDescent="0.25">
      <c r="A44" s="45" t="s">
        <v>42</v>
      </c>
      <c r="B44" s="45">
        <v>-92955.060000000012</v>
      </c>
      <c r="C44" s="45">
        <v>-11112.88</v>
      </c>
      <c r="D44" s="45">
        <v>424377.00000000006</v>
      </c>
      <c r="E44" s="45">
        <v>67879.259999999995</v>
      </c>
      <c r="F44" s="45">
        <v>107.69</v>
      </c>
      <c r="G44" s="45">
        <v>641.33000000000004</v>
      </c>
      <c r="I44" s="45">
        <v>232773.41</v>
      </c>
      <c r="J44" s="45">
        <v>696916.1599999998</v>
      </c>
      <c r="L44" s="45">
        <v>432</v>
      </c>
      <c r="M44" s="45">
        <v>1965.1</v>
      </c>
      <c r="N44" s="45">
        <v>28414.28</v>
      </c>
      <c r="O44" s="45">
        <v>10258097</v>
      </c>
      <c r="P44" s="45">
        <v>165</v>
      </c>
      <c r="Q44" s="45">
        <v>1120871.67</v>
      </c>
      <c r="R44" s="45">
        <v>3446039.21</v>
      </c>
      <c r="S44" s="45">
        <v>5999518.5199999986</v>
      </c>
      <c r="T44" s="45">
        <v>2191279.7000000002</v>
      </c>
      <c r="U44" s="45">
        <v>81918.98</v>
      </c>
      <c r="V44" s="45">
        <v>1076949.97</v>
      </c>
      <c r="W44" s="45">
        <v>13624.220000000003</v>
      </c>
      <c r="X44" s="45">
        <v>6696.3200000000006</v>
      </c>
      <c r="Y44" s="45">
        <v>131958.07</v>
      </c>
      <c r="Z44" s="45">
        <v>1764760.6500000001</v>
      </c>
      <c r="AA44" s="45">
        <v>59668.67</v>
      </c>
      <c r="AB44" s="45">
        <v>39618.299999999996</v>
      </c>
      <c r="AC44" s="45">
        <v>33925.46</v>
      </c>
      <c r="AD44" s="45">
        <v>2256428.9299999997</v>
      </c>
      <c r="AE44" s="45">
        <v>400930.22000000003</v>
      </c>
      <c r="AH44" s="45">
        <v>35674.629999999997</v>
      </c>
      <c r="AI44" s="45">
        <v>1074609.54</v>
      </c>
      <c r="AJ44" s="45">
        <v>1841799.9999999998</v>
      </c>
      <c r="AK44" s="45">
        <v>377826.9</v>
      </c>
      <c r="AN44" s="45">
        <v>932622.0399999998</v>
      </c>
      <c r="AO44" s="45">
        <v>10127.27</v>
      </c>
      <c r="AP44" s="45">
        <v>124781.35999999999</v>
      </c>
      <c r="AQ44" s="45">
        <v>284597.24</v>
      </c>
      <c r="AR44" s="45">
        <v>59639.710000000006</v>
      </c>
      <c r="AS44" s="45">
        <v>16382.25</v>
      </c>
      <c r="AT44" s="45">
        <v>17816</v>
      </c>
      <c r="AU44" s="45">
        <v>35276.299999999996</v>
      </c>
      <c r="AV44" s="45">
        <v>12365.07</v>
      </c>
      <c r="AY44" s="45">
        <v>50298.85</v>
      </c>
      <c r="AZ44" s="45">
        <v>3520</v>
      </c>
      <c r="BA44" s="45">
        <v>377734.31</v>
      </c>
      <c r="BC44" s="45">
        <v>10835.4</v>
      </c>
      <c r="BD44" s="45">
        <v>353148.97000000003</v>
      </c>
      <c r="BE44" s="45">
        <v>882.27</v>
      </c>
      <c r="BF44" s="45">
        <v>2411409.2199999997</v>
      </c>
      <c r="BG44" s="45">
        <v>488415.92000000004</v>
      </c>
      <c r="BH44" s="45">
        <v>60000</v>
      </c>
      <c r="BL44" s="2">
        <f t="shared" si="1"/>
        <v>38811652.43</v>
      </c>
      <c r="BN44" s="341">
        <v>2159.38</v>
      </c>
      <c r="BO44" s="341">
        <v>2307370.8099999996</v>
      </c>
      <c r="BP44" s="341">
        <v>2462.88</v>
      </c>
      <c r="BQ44" s="341"/>
      <c r="BR44" s="341"/>
      <c r="BS44" s="341">
        <v>162525</v>
      </c>
      <c r="BT44" s="341"/>
      <c r="BU44" s="341">
        <v>2223.0100000000002</v>
      </c>
      <c r="BV44" s="341"/>
      <c r="BW44" s="341">
        <v>66667</v>
      </c>
      <c r="BX44" s="341"/>
      <c r="BY44" s="341">
        <v>100566.92</v>
      </c>
      <c r="BZ44" s="341"/>
      <c r="CA44" s="341"/>
      <c r="CB44" s="347"/>
      <c r="CC44" s="341"/>
      <c r="CD44" s="341"/>
      <c r="CE44" s="341">
        <v>534202.96</v>
      </c>
      <c r="CF44" s="341">
        <v>1076.5</v>
      </c>
      <c r="CG44" s="341"/>
      <c r="CH44" s="341">
        <v>976498.52</v>
      </c>
      <c r="CI44" s="341">
        <v>272934.15999999997</v>
      </c>
      <c r="CJ44" s="341">
        <v>4281.78</v>
      </c>
      <c r="CK44" s="341"/>
      <c r="CL44" s="341"/>
      <c r="CM44" s="341">
        <v>32376</v>
      </c>
      <c r="CN44" s="341"/>
      <c r="CO44" s="341"/>
      <c r="CP44" s="347">
        <v>40583</v>
      </c>
      <c r="CQ44" s="341"/>
      <c r="CR44" s="342">
        <f t="shared" si="2"/>
        <v>4505927.919999999</v>
      </c>
    </row>
    <row r="45" spans="1:96" x14ac:dyDescent="0.25">
      <c r="A45" s="45" t="s">
        <v>43</v>
      </c>
      <c r="B45" s="45">
        <v>-14801.07</v>
      </c>
      <c r="C45" s="45">
        <v>-3865.57</v>
      </c>
      <c r="D45" s="45">
        <v>94306</v>
      </c>
      <c r="E45" s="45">
        <v>6884.4999999999991</v>
      </c>
      <c r="G45" s="45">
        <v>663.44</v>
      </c>
      <c r="I45" s="45">
        <v>58193.35</v>
      </c>
      <c r="J45" s="45">
        <v>65339.140000000007</v>
      </c>
      <c r="N45" s="45">
        <v>4836.47</v>
      </c>
      <c r="O45" s="45">
        <v>1206659.9999999998</v>
      </c>
      <c r="P45" s="45">
        <v>55</v>
      </c>
      <c r="Q45" s="45">
        <v>124527.48000000001</v>
      </c>
      <c r="R45" s="45">
        <v>367076.48</v>
      </c>
      <c r="S45" s="45">
        <v>636796.6399999999</v>
      </c>
      <c r="T45" s="45">
        <v>77327.38</v>
      </c>
      <c r="U45" s="45">
        <v>13011.920000000004</v>
      </c>
      <c r="V45" s="45">
        <v>125059.01000000002</v>
      </c>
      <c r="W45" s="45">
        <v>3848.3</v>
      </c>
      <c r="X45" s="45">
        <v>2267.46</v>
      </c>
      <c r="Y45" s="45">
        <v>13605.970000000001</v>
      </c>
      <c r="Z45" s="45">
        <v>354659.88</v>
      </c>
      <c r="AA45" s="45">
        <v>5464.1599999999989</v>
      </c>
      <c r="AB45" s="45">
        <v>350.65999999999997</v>
      </c>
      <c r="AC45" s="45">
        <v>2167.7400000000002</v>
      </c>
      <c r="AD45" s="45">
        <v>506019.12999999989</v>
      </c>
      <c r="AE45" s="45">
        <v>45839.380000000005</v>
      </c>
      <c r="AH45" s="45">
        <v>12598.69</v>
      </c>
      <c r="AI45" s="45">
        <v>114022.65</v>
      </c>
      <c r="AJ45" s="45">
        <v>213617.99999999997</v>
      </c>
      <c r="AK45" s="45">
        <v>43821.599999999999</v>
      </c>
      <c r="AN45" s="45">
        <v>109474.47</v>
      </c>
      <c r="AO45" s="45">
        <v>741.02</v>
      </c>
      <c r="AP45" s="45">
        <v>18168.43</v>
      </c>
      <c r="AQ45" s="45">
        <v>30173.759999999995</v>
      </c>
      <c r="AR45" s="45">
        <v>49999.999999999993</v>
      </c>
      <c r="AS45" s="45">
        <v>1769.75</v>
      </c>
      <c r="AT45" s="45">
        <v>892.5</v>
      </c>
      <c r="AU45" s="45">
        <v>3252.9800000000005</v>
      </c>
      <c r="AV45" s="45">
        <v>1266.42</v>
      </c>
      <c r="AY45" s="45">
        <v>5180.12</v>
      </c>
      <c r="AZ45" s="45">
        <v>1024</v>
      </c>
      <c r="BA45" s="45">
        <v>22409.420000000002</v>
      </c>
      <c r="BC45" s="45">
        <v>10000</v>
      </c>
      <c r="BD45" s="45">
        <v>13500.930000000002</v>
      </c>
      <c r="BF45" s="45">
        <v>288197.02999999997</v>
      </c>
      <c r="BG45" s="45">
        <v>91577.989999999991</v>
      </c>
      <c r="BH45" s="45">
        <v>96814</v>
      </c>
      <c r="BL45" s="2">
        <f t="shared" si="1"/>
        <v>4824796.6100000003</v>
      </c>
      <c r="BN45" s="341">
        <v>2513.81</v>
      </c>
      <c r="BO45" s="341">
        <v>243347.15999999997</v>
      </c>
      <c r="BP45" s="341">
        <v>139.24</v>
      </c>
      <c r="BQ45" s="341"/>
      <c r="BR45" s="341">
        <v>200000</v>
      </c>
      <c r="BS45" s="341">
        <v>19525</v>
      </c>
      <c r="BT45" s="341"/>
      <c r="BU45" s="341"/>
      <c r="BV45" s="341"/>
      <c r="BW45" s="341"/>
      <c r="BX45" s="341">
        <v>33161</v>
      </c>
      <c r="BY45" s="341">
        <v>8380.58</v>
      </c>
      <c r="BZ45" s="341"/>
      <c r="CA45" s="341"/>
      <c r="CB45" s="347"/>
      <c r="CC45" s="341"/>
      <c r="CD45" s="341"/>
      <c r="CE45" s="341">
        <v>28858.499999999993</v>
      </c>
      <c r="CF45" s="341">
        <v>1076.5</v>
      </c>
      <c r="CG45" s="341"/>
      <c r="CH45" s="341">
        <v>141547.19</v>
      </c>
      <c r="CI45" s="341"/>
      <c r="CJ45" s="341"/>
      <c r="CK45" s="341"/>
      <c r="CL45" s="341"/>
      <c r="CM45" s="341"/>
      <c r="CN45" s="341"/>
      <c r="CO45" s="341"/>
      <c r="CP45" s="347">
        <v>4846</v>
      </c>
      <c r="CQ45" s="341"/>
      <c r="CR45" s="342">
        <f t="shared" si="2"/>
        <v>683394.98</v>
      </c>
    </row>
    <row r="46" spans="1:96" x14ac:dyDescent="0.25">
      <c r="A46" s="45" t="s">
        <v>44</v>
      </c>
      <c r="B46" s="45">
        <v>-19503.87</v>
      </c>
      <c r="C46" s="45">
        <v>-4401.42</v>
      </c>
      <c r="D46" s="45">
        <v>94306</v>
      </c>
      <c r="E46" s="45">
        <v>10835.160000000002</v>
      </c>
      <c r="G46" s="45">
        <v>663.44</v>
      </c>
      <c r="I46" s="45">
        <v>58193.35</v>
      </c>
      <c r="J46" s="45">
        <v>83656.249999999985</v>
      </c>
      <c r="N46" s="45">
        <v>6045.59</v>
      </c>
      <c r="O46" s="45">
        <v>1427656</v>
      </c>
      <c r="P46" s="45">
        <v>110</v>
      </c>
      <c r="Q46" s="45">
        <v>150288.16</v>
      </c>
      <c r="R46" s="45">
        <v>469174.64</v>
      </c>
      <c r="S46" s="45">
        <v>834458.33</v>
      </c>
      <c r="T46" s="45">
        <v>144570.09</v>
      </c>
      <c r="U46" s="45">
        <v>4592.57</v>
      </c>
      <c r="V46" s="45">
        <v>125396.83000000003</v>
      </c>
      <c r="W46" s="45">
        <v>6180.4499999999989</v>
      </c>
      <c r="X46" s="45">
        <v>3144.17</v>
      </c>
      <c r="Y46" s="45">
        <v>8045.369999999999</v>
      </c>
      <c r="Z46" s="45">
        <v>280247.11999999994</v>
      </c>
      <c r="AA46" s="45">
        <v>3961.0399999999995</v>
      </c>
      <c r="AB46" s="45">
        <v>3961.04</v>
      </c>
      <c r="AC46" s="45">
        <v>1582.56</v>
      </c>
      <c r="AD46" s="45">
        <v>613035.75000000012</v>
      </c>
      <c r="AE46" s="45">
        <v>37714.61</v>
      </c>
      <c r="AH46" s="45">
        <v>14292.68</v>
      </c>
      <c r="AI46" s="45">
        <v>162942.59999999998</v>
      </c>
      <c r="AJ46" s="45">
        <v>408396.00000000012</v>
      </c>
      <c r="AK46" s="45">
        <v>83778.36000000003</v>
      </c>
      <c r="AN46" s="45">
        <v>116503.76999999999</v>
      </c>
      <c r="AO46" s="45">
        <v>494.01</v>
      </c>
      <c r="AP46" s="45">
        <v>21958.330000000005</v>
      </c>
      <c r="AQ46" s="45">
        <v>49373.069999999992</v>
      </c>
      <c r="AR46" s="45">
        <v>212854.56999999998</v>
      </c>
      <c r="AS46" s="45">
        <v>3298.5</v>
      </c>
      <c r="AT46" s="45">
        <v>121005</v>
      </c>
      <c r="AU46" s="45">
        <v>7197.6800000000012</v>
      </c>
      <c r="AV46" s="45">
        <v>2377.66</v>
      </c>
      <c r="AY46" s="45">
        <v>8340.25</v>
      </c>
      <c r="AZ46" s="45">
        <v>3568</v>
      </c>
      <c r="BA46" s="45">
        <v>64517.100000000006</v>
      </c>
      <c r="BC46" s="45">
        <v>66991.25</v>
      </c>
      <c r="BD46" s="45">
        <v>2049.8699999999994</v>
      </c>
      <c r="BE46" s="45">
        <v>294.08999999999997</v>
      </c>
      <c r="BF46" s="45">
        <v>285841.88999999996</v>
      </c>
      <c r="BG46" s="45">
        <v>61051.99</v>
      </c>
      <c r="BH46" s="45">
        <v>145000</v>
      </c>
      <c r="BL46" s="2">
        <f t="shared" si="1"/>
        <v>6186039.8999999994</v>
      </c>
      <c r="BN46" s="341"/>
      <c r="BO46" s="341">
        <v>387025.70999999996</v>
      </c>
      <c r="BP46" s="341">
        <v>468.98</v>
      </c>
      <c r="BQ46" s="341"/>
      <c r="BR46" s="341"/>
      <c r="BS46" s="341">
        <v>34375</v>
      </c>
      <c r="BT46" s="341"/>
      <c r="BU46" s="341"/>
      <c r="BV46" s="341"/>
      <c r="BW46" s="341"/>
      <c r="BX46" s="341"/>
      <c r="BY46" s="341">
        <v>13408.92</v>
      </c>
      <c r="BZ46" s="341"/>
      <c r="CA46" s="341"/>
      <c r="CB46" s="347"/>
      <c r="CC46" s="341"/>
      <c r="CD46" s="341"/>
      <c r="CE46" s="341">
        <v>57717</v>
      </c>
      <c r="CF46" s="341">
        <v>1076.5</v>
      </c>
      <c r="CG46" s="341"/>
      <c r="CH46" s="341">
        <v>180400.00000000003</v>
      </c>
      <c r="CI46" s="341"/>
      <c r="CJ46" s="341"/>
      <c r="CK46" s="341"/>
      <c r="CL46" s="341"/>
      <c r="CM46" s="341"/>
      <c r="CN46" s="341"/>
      <c r="CO46" s="341"/>
      <c r="CP46" s="347">
        <v>5645</v>
      </c>
      <c r="CQ46" s="341"/>
      <c r="CR46" s="342">
        <f t="shared" si="2"/>
        <v>680117.11</v>
      </c>
    </row>
    <row r="47" spans="1:96" x14ac:dyDescent="0.25">
      <c r="A47" s="45" t="s">
        <v>378</v>
      </c>
      <c r="B47" s="45">
        <v>-46985.61</v>
      </c>
      <c r="C47" s="45">
        <v>-11194.86</v>
      </c>
      <c r="D47" s="45">
        <v>188612</v>
      </c>
      <c r="E47" s="45">
        <v>15755.77</v>
      </c>
      <c r="G47" s="45">
        <v>663.44</v>
      </c>
      <c r="I47" s="45">
        <v>116386.69999999998</v>
      </c>
      <c r="J47" s="45">
        <v>203946.66000000003</v>
      </c>
      <c r="M47" s="45">
        <v>597.66999999999996</v>
      </c>
      <c r="N47" s="45">
        <v>12091.18</v>
      </c>
      <c r="O47" s="45">
        <v>2658317</v>
      </c>
      <c r="Q47" s="45">
        <v>265959.11</v>
      </c>
      <c r="R47" s="45">
        <v>845305.32</v>
      </c>
      <c r="S47" s="45">
        <v>1586974.5700000003</v>
      </c>
      <c r="T47" s="45">
        <v>465016.74000000005</v>
      </c>
      <c r="U47" s="45">
        <v>29395.480000000003</v>
      </c>
      <c r="V47" s="45">
        <v>365961.38000000012</v>
      </c>
      <c r="W47" s="45">
        <v>1955.5900000000001</v>
      </c>
      <c r="X47" s="45">
        <v>11877.590000000002</v>
      </c>
      <c r="Y47" s="45">
        <v>6154.8600000000006</v>
      </c>
      <c r="Z47" s="45">
        <v>268429.31999999995</v>
      </c>
      <c r="AA47" s="45">
        <v>12742.160000000002</v>
      </c>
      <c r="AB47" s="45">
        <v>6843.7500000000009</v>
      </c>
      <c r="AC47" s="45">
        <v>8110.52</v>
      </c>
      <c r="AD47" s="45">
        <v>911918.61</v>
      </c>
      <c r="AE47" s="45">
        <v>107927.51999999999</v>
      </c>
      <c r="AH47" s="45">
        <v>16280.84</v>
      </c>
      <c r="AI47" s="45">
        <v>283563.49</v>
      </c>
      <c r="AJ47" s="45">
        <v>519638</v>
      </c>
      <c r="AK47" s="45">
        <v>106598.54999999999</v>
      </c>
      <c r="AN47" s="45">
        <v>259557.15000000005</v>
      </c>
      <c r="AO47" s="45">
        <v>1482.04</v>
      </c>
      <c r="AP47" s="45">
        <v>44771.200000000004</v>
      </c>
      <c r="AQ47" s="45">
        <v>72099.090000000011</v>
      </c>
      <c r="AR47" s="45">
        <v>58836.48000000001</v>
      </c>
      <c r="AS47" s="45">
        <v>4518</v>
      </c>
      <c r="AT47" s="45">
        <v>8825</v>
      </c>
      <c r="AU47" s="45">
        <v>23693.420000000002</v>
      </c>
      <c r="AV47" s="45">
        <v>3338.26</v>
      </c>
      <c r="AY47" s="45">
        <v>6631.2</v>
      </c>
      <c r="AZ47" s="45">
        <v>4528</v>
      </c>
      <c r="BA47" s="45">
        <v>63278.51</v>
      </c>
      <c r="BC47" s="45">
        <v>47384.15</v>
      </c>
      <c r="BD47" s="45">
        <v>4797.72</v>
      </c>
      <c r="BE47" s="45">
        <v>294.08999999999997</v>
      </c>
      <c r="BF47" s="45">
        <v>675849.02999999991</v>
      </c>
      <c r="BG47" s="45">
        <v>297992.19999999995</v>
      </c>
      <c r="BH47" s="45">
        <v>207100</v>
      </c>
      <c r="BI47" s="45">
        <v>150000</v>
      </c>
      <c r="BL47" s="2">
        <f t="shared" si="1"/>
        <v>10893818.889999999</v>
      </c>
      <c r="BN47" s="341">
        <v>5104.3500000000004</v>
      </c>
      <c r="BO47" s="341">
        <v>597608.24999999988</v>
      </c>
      <c r="BP47" s="341">
        <v>751.68000000000006</v>
      </c>
      <c r="BQ47" s="341"/>
      <c r="BR47" s="341"/>
      <c r="BS47" s="341">
        <v>44825</v>
      </c>
      <c r="BT47" s="341"/>
      <c r="BU47" s="341"/>
      <c r="BV47" s="341"/>
      <c r="BW47" s="341"/>
      <c r="BX47" s="341">
        <v>33161</v>
      </c>
      <c r="BY47" s="341">
        <v>11732.810000000001</v>
      </c>
      <c r="BZ47" s="341"/>
      <c r="CA47" s="341">
        <v>10000</v>
      </c>
      <c r="CB47" s="347"/>
      <c r="CC47" s="341"/>
      <c r="CD47" s="341"/>
      <c r="CE47" s="341">
        <v>179564</v>
      </c>
      <c r="CF47" s="341">
        <v>1076.5</v>
      </c>
      <c r="CG47" s="341"/>
      <c r="CH47" s="341">
        <v>433360.89000000013</v>
      </c>
      <c r="CI47" s="341">
        <v>165690.00999999998</v>
      </c>
      <c r="CJ47" s="341">
        <v>21981.7</v>
      </c>
      <c r="CK47" s="341"/>
      <c r="CL47" s="341"/>
      <c r="CM47" s="341">
        <v>27239.32</v>
      </c>
      <c r="CN47" s="341"/>
      <c r="CO47" s="341">
        <v>280000</v>
      </c>
      <c r="CP47" s="347">
        <v>10571</v>
      </c>
      <c r="CQ47" s="341"/>
      <c r="CR47" s="342">
        <f t="shared" si="2"/>
        <v>1822666.51</v>
      </c>
    </row>
    <row r="48" spans="1:96" x14ac:dyDescent="0.25">
      <c r="A48" s="45" t="s">
        <v>379</v>
      </c>
      <c r="B48" s="45">
        <v>-3959.9700000000003</v>
      </c>
      <c r="C48" s="45">
        <v>-360.1</v>
      </c>
      <c r="D48" s="45">
        <v>94306</v>
      </c>
      <c r="E48" s="45">
        <v>5082.74</v>
      </c>
      <c r="F48" s="45">
        <v>2856.7</v>
      </c>
      <c r="G48" s="45">
        <v>663.44</v>
      </c>
      <c r="I48" s="45">
        <v>29096.68</v>
      </c>
      <c r="J48" s="45">
        <v>87153.47</v>
      </c>
      <c r="M48" s="45">
        <v>246.58</v>
      </c>
      <c r="N48" s="45">
        <v>6650.15</v>
      </c>
      <c r="O48" s="45">
        <v>791205</v>
      </c>
      <c r="Q48" s="45">
        <v>95382.94</v>
      </c>
      <c r="R48" s="45">
        <v>224248.96000000002</v>
      </c>
      <c r="S48" s="45">
        <v>468288.55999999988</v>
      </c>
      <c r="T48" s="45">
        <v>167129.66</v>
      </c>
      <c r="U48" s="45">
        <v>11656.219999999998</v>
      </c>
      <c r="V48" s="45">
        <v>142331.62</v>
      </c>
      <c r="W48" s="45">
        <v>361.88</v>
      </c>
      <c r="X48" s="45">
        <v>3256.89</v>
      </c>
      <c r="Y48" s="45">
        <v>4478.0300000000007</v>
      </c>
      <c r="Z48" s="45">
        <v>159168.37999999998</v>
      </c>
      <c r="AA48" s="45">
        <v>1309.02</v>
      </c>
      <c r="AC48" s="45">
        <v>8295.7099999999991</v>
      </c>
      <c r="AD48" s="45">
        <v>156416.33000000002</v>
      </c>
      <c r="AH48" s="45">
        <v>11927.36</v>
      </c>
      <c r="AI48" s="45">
        <v>104295.64999999998</v>
      </c>
      <c r="AJ48" s="45">
        <v>190189</v>
      </c>
      <c r="AK48" s="45">
        <v>39015.380000000005</v>
      </c>
      <c r="AN48" s="45">
        <v>79669.899999999994</v>
      </c>
      <c r="AO48" s="45">
        <v>494.01</v>
      </c>
      <c r="AP48" s="45">
        <v>19302.29</v>
      </c>
      <c r="AQ48" s="45">
        <v>22781.680000000004</v>
      </c>
      <c r="AR48" s="45">
        <v>49999.999999999993</v>
      </c>
      <c r="AS48" s="45">
        <v>1698.25</v>
      </c>
      <c r="AT48" s="45">
        <v>1776.5</v>
      </c>
      <c r="AU48" s="45">
        <v>6323.3099999999995</v>
      </c>
      <c r="AV48" s="45">
        <v>986.79</v>
      </c>
      <c r="AX48" s="45">
        <v>25000</v>
      </c>
      <c r="AY48" s="45">
        <v>4118.28</v>
      </c>
      <c r="AZ48" s="45">
        <v>816</v>
      </c>
      <c r="BA48" s="45">
        <v>1428.4599999999998</v>
      </c>
      <c r="BC48" s="45">
        <v>10000</v>
      </c>
      <c r="BD48" s="45">
        <v>9446.869999999999</v>
      </c>
      <c r="BF48" s="45">
        <v>231372.21</v>
      </c>
      <c r="BG48" s="45">
        <v>61051.99</v>
      </c>
      <c r="BH48" s="45">
        <v>300800</v>
      </c>
      <c r="BL48" s="2">
        <f t="shared" si="1"/>
        <v>3627758.8199999989</v>
      </c>
      <c r="BN48" s="341"/>
      <c r="BO48" s="341">
        <v>218478.49</v>
      </c>
      <c r="BP48" s="341">
        <v>339.51</v>
      </c>
      <c r="BQ48" s="341"/>
      <c r="BR48" s="341">
        <v>75000</v>
      </c>
      <c r="BS48" s="341">
        <v>16225</v>
      </c>
      <c r="BT48" s="341"/>
      <c r="BU48" s="341"/>
      <c r="BV48" s="341"/>
      <c r="BW48" s="341"/>
      <c r="BX48" s="341"/>
      <c r="BY48" s="341">
        <v>13408.92</v>
      </c>
      <c r="BZ48" s="341"/>
      <c r="CA48" s="341"/>
      <c r="CB48" s="347"/>
      <c r="CC48" s="341"/>
      <c r="CD48" s="341"/>
      <c r="CE48" s="341"/>
      <c r="CF48" s="341">
        <v>1076.5</v>
      </c>
      <c r="CG48" s="341"/>
      <c r="CH48" s="341">
        <v>122705.40999999997</v>
      </c>
      <c r="CI48" s="341"/>
      <c r="CJ48" s="341"/>
      <c r="CK48" s="341"/>
      <c r="CL48" s="341"/>
      <c r="CM48" s="341">
        <v>17861.11</v>
      </c>
      <c r="CN48" s="341"/>
      <c r="CO48" s="341"/>
      <c r="CP48" s="347">
        <v>3161</v>
      </c>
      <c r="CQ48" s="341"/>
      <c r="CR48" s="342">
        <f t="shared" si="2"/>
        <v>468255.93999999994</v>
      </c>
    </row>
    <row r="49" spans="1:96" x14ac:dyDescent="0.25">
      <c r="A49" s="45" t="s">
        <v>380</v>
      </c>
      <c r="B49" s="45">
        <v>-512130.64999999997</v>
      </c>
      <c r="C49" s="45">
        <v>-97252.83</v>
      </c>
      <c r="D49" s="45">
        <v>1367437</v>
      </c>
      <c r="E49" s="45">
        <v>320189.56000000006</v>
      </c>
      <c r="F49" s="45">
        <v>25887.8</v>
      </c>
      <c r="G49" s="45">
        <v>6413.27</v>
      </c>
      <c r="H49" s="45">
        <v>621.25</v>
      </c>
      <c r="I49" s="45">
        <v>843803.56999999983</v>
      </c>
      <c r="J49" s="45">
        <v>3668925.4000000008</v>
      </c>
      <c r="M49" s="45">
        <v>5199.0600000000004</v>
      </c>
      <c r="N49" s="45">
        <v>190436.12</v>
      </c>
      <c r="O49" s="45">
        <v>36762017</v>
      </c>
      <c r="P49" s="45">
        <v>220</v>
      </c>
      <c r="Q49" s="45">
        <v>3782705.61</v>
      </c>
      <c r="R49" s="45">
        <v>11634845.650000002</v>
      </c>
      <c r="S49" s="45">
        <v>20887622.629999999</v>
      </c>
      <c r="T49" s="45">
        <v>9149669.1100000013</v>
      </c>
      <c r="U49" s="45">
        <v>312782.5</v>
      </c>
      <c r="V49" s="45">
        <v>3783341.4099999992</v>
      </c>
      <c r="W49" s="45">
        <v>50836.960000000006</v>
      </c>
      <c r="X49" s="45">
        <v>411579.19999999995</v>
      </c>
      <c r="Y49" s="45">
        <v>310460.48</v>
      </c>
      <c r="Z49" s="45">
        <v>8650239.9000000004</v>
      </c>
      <c r="AA49" s="45">
        <v>201366.69</v>
      </c>
      <c r="AB49" s="45">
        <v>109660.47</v>
      </c>
      <c r="AC49" s="45">
        <v>130074.94999999998</v>
      </c>
      <c r="AD49" s="45">
        <v>8101495.2799999984</v>
      </c>
      <c r="AE49" s="45">
        <v>1795037.08</v>
      </c>
      <c r="AG49" s="45">
        <v>124422.00000000006</v>
      </c>
      <c r="AH49" s="45">
        <v>135177.63</v>
      </c>
      <c r="AI49" s="45">
        <v>4664619.1000000015</v>
      </c>
      <c r="AJ49" s="45">
        <v>10243892</v>
      </c>
      <c r="AK49" s="45">
        <v>2101432.27</v>
      </c>
      <c r="AN49" s="45">
        <v>2548866.41</v>
      </c>
      <c r="AO49" s="45">
        <v>47425.25</v>
      </c>
      <c r="AP49" s="45">
        <v>624167.23</v>
      </c>
      <c r="AQ49" s="45">
        <v>1425468.09</v>
      </c>
      <c r="AR49" s="45">
        <v>946905.92999999993</v>
      </c>
      <c r="AS49" s="45">
        <v>89390.25</v>
      </c>
      <c r="AT49" s="45">
        <v>95127.75</v>
      </c>
      <c r="AU49" s="45">
        <v>196929.96</v>
      </c>
      <c r="AV49" s="45">
        <v>65367.89</v>
      </c>
      <c r="AX49" s="45">
        <v>154647.94</v>
      </c>
      <c r="AY49" s="45">
        <v>192447.64</v>
      </c>
      <c r="AZ49" s="45">
        <v>60640</v>
      </c>
      <c r="BA49" s="45">
        <v>1841408.5</v>
      </c>
      <c r="BB49" s="45">
        <v>29187</v>
      </c>
      <c r="BC49" s="45">
        <v>33600.050000000003</v>
      </c>
      <c r="BD49" s="45">
        <v>953717.11</v>
      </c>
      <c r="BE49" s="45">
        <v>2646.81</v>
      </c>
      <c r="BF49" s="45">
        <v>7892706.3899999997</v>
      </c>
      <c r="BG49" s="45">
        <v>1526299.75</v>
      </c>
      <c r="BH49" s="45">
        <v>290904</v>
      </c>
      <c r="BL49" s="2">
        <f t="shared" si="1"/>
        <v>148180881.41999999</v>
      </c>
      <c r="BN49" s="341">
        <v>74333.539999999994</v>
      </c>
      <c r="BO49" s="341">
        <v>11192214.450000003</v>
      </c>
      <c r="BP49" s="341">
        <v>6245.670000000001</v>
      </c>
      <c r="BQ49" s="341"/>
      <c r="BR49" s="341">
        <v>370000</v>
      </c>
      <c r="BS49" s="341">
        <v>859925</v>
      </c>
      <c r="BT49" s="341"/>
      <c r="BU49" s="341"/>
      <c r="BV49" s="341">
        <v>5000</v>
      </c>
      <c r="BW49" s="341"/>
      <c r="BX49" s="341"/>
      <c r="BY49" s="341">
        <v>249741.19</v>
      </c>
      <c r="BZ49" s="341"/>
      <c r="CA49" s="341"/>
      <c r="CB49" s="347"/>
      <c r="CC49" s="341"/>
      <c r="CD49" s="341"/>
      <c r="CE49" s="341">
        <v>2611189.1400000006</v>
      </c>
      <c r="CF49" s="341">
        <v>1076.5</v>
      </c>
      <c r="CG49" s="341">
        <v>1711144.7599999998</v>
      </c>
      <c r="CH49" s="341">
        <v>71291.41</v>
      </c>
      <c r="CI49" s="341">
        <v>710169.02000000014</v>
      </c>
      <c r="CJ49" s="341">
        <v>18147.2</v>
      </c>
      <c r="CK49" s="341"/>
      <c r="CL49" s="341"/>
      <c r="CM49" s="341"/>
      <c r="CN49" s="341"/>
      <c r="CO49" s="341"/>
      <c r="CP49" s="347">
        <v>147707</v>
      </c>
      <c r="CQ49" s="341"/>
      <c r="CR49" s="342">
        <f t="shared" si="2"/>
        <v>18028184.879999999</v>
      </c>
    </row>
    <row r="50" spans="1:96" x14ac:dyDescent="0.25">
      <c r="A50" s="45" t="s">
        <v>381</v>
      </c>
      <c r="B50" s="45">
        <v>-25474.899999999998</v>
      </c>
      <c r="C50" s="45">
        <v>-12998.78</v>
      </c>
      <c r="D50" s="45">
        <v>188612</v>
      </c>
      <c r="E50" s="45">
        <v>20117.559999999994</v>
      </c>
      <c r="G50" s="45">
        <v>641.33000000000004</v>
      </c>
      <c r="I50" s="45">
        <v>58193.35</v>
      </c>
      <c r="J50" s="45">
        <v>370324.35000000009</v>
      </c>
      <c r="N50" s="45">
        <v>23577.81</v>
      </c>
      <c r="O50" s="45">
        <v>1960475.0000000002</v>
      </c>
      <c r="P50" s="45">
        <v>165</v>
      </c>
      <c r="Q50" s="45">
        <v>267972.07</v>
      </c>
      <c r="R50" s="45">
        <v>764675.74999999988</v>
      </c>
      <c r="S50" s="45">
        <v>1036253.2500000001</v>
      </c>
      <c r="T50" s="45">
        <v>382772</v>
      </c>
      <c r="U50" s="45">
        <v>24541.740000000005</v>
      </c>
      <c r="V50" s="45">
        <v>262129.43</v>
      </c>
      <c r="W50" s="45">
        <v>1430.5500000000002</v>
      </c>
      <c r="X50" s="45">
        <v>20238.710000000003</v>
      </c>
      <c r="Y50" s="45">
        <v>28555.260000000002</v>
      </c>
      <c r="Z50" s="45">
        <v>251733.73000000004</v>
      </c>
      <c r="AA50" s="45">
        <v>4411.91</v>
      </c>
      <c r="AB50" s="45">
        <v>1789.64</v>
      </c>
      <c r="AC50" s="45">
        <v>7369.58</v>
      </c>
      <c r="AD50" s="45">
        <v>471675.05999999994</v>
      </c>
      <c r="AE50" s="45">
        <v>46833.260000000009</v>
      </c>
      <c r="AH50" s="45">
        <v>17513.259999999998</v>
      </c>
      <c r="AI50" s="45">
        <v>368572.44000000006</v>
      </c>
      <c r="AJ50" s="45">
        <v>607121.99999999988</v>
      </c>
      <c r="AK50" s="45">
        <v>124545.01999999999</v>
      </c>
      <c r="AN50" s="45">
        <v>195860.16</v>
      </c>
      <c r="AO50" s="45">
        <v>9139.24</v>
      </c>
      <c r="AP50" s="45">
        <v>71920.97</v>
      </c>
      <c r="AQ50" s="45">
        <v>82136.960000000006</v>
      </c>
      <c r="AR50" s="45">
        <v>52611.46</v>
      </c>
      <c r="AS50" s="45">
        <v>4565</v>
      </c>
      <c r="AT50" s="45">
        <v>7713.75</v>
      </c>
      <c r="AU50" s="45">
        <v>2473.9100000000003</v>
      </c>
      <c r="AV50" s="45">
        <v>3462.48</v>
      </c>
      <c r="AX50" s="45">
        <v>20596.21</v>
      </c>
      <c r="AY50" s="45">
        <v>14946.55</v>
      </c>
      <c r="BA50" s="45">
        <v>24199.599999999999</v>
      </c>
      <c r="BC50" s="45">
        <v>10835.4</v>
      </c>
      <c r="BD50" s="45">
        <v>151974.54000000004</v>
      </c>
      <c r="BE50" s="45">
        <v>588.17999999999995</v>
      </c>
      <c r="BF50" s="45">
        <v>570421</v>
      </c>
      <c r="BG50" s="45">
        <v>105153.00000000001</v>
      </c>
      <c r="BH50" s="45">
        <v>102949</v>
      </c>
      <c r="BL50" s="2">
        <f t="shared" si="1"/>
        <v>8705314.7899999991</v>
      </c>
      <c r="BN50" s="341">
        <v>1621.83</v>
      </c>
      <c r="BO50" s="341">
        <v>680231.74000000022</v>
      </c>
      <c r="BP50" s="341">
        <v>480.57</v>
      </c>
      <c r="BQ50" s="341"/>
      <c r="BR50" s="341">
        <v>255000</v>
      </c>
      <c r="BS50" s="341">
        <v>52800</v>
      </c>
      <c r="BT50" s="341"/>
      <c r="BU50" s="341"/>
      <c r="BV50" s="341">
        <v>2500</v>
      </c>
      <c r="BW50" s="341"/>
      <c r="BX50" s="341"/>
      <c r="BY50" s="341">
        <v>65368.5</v>
      </c>
      <c r="BZ50" s="341"/>
      <c r="CA50" s="341"/>
      <c r="CB50" s="347"/>
      <c r="CC50" s="341"/>
      <c r="CD50" s="341"/>
      <c r="CE50" s="341">
        <v>6413.0000000000009</v>
      </c>
      <c r="CF50" s="341">
        <v>1076.5</v>
      </c>
      <c r="CG50" s="341"/>
      <c r="CH50" s="341">
        <v>677936.52</v>
      </c>
      <c r="CI50" s="341"/>
      <c r="CJ50" s="341"/>
      <c r="CK50" s="341"/>
      <c r="CL50" s="341"/>
      <c r="CM50" s="341">
        <v>58058.420000000006</v>
      </c>
      <c r="CN50" s="341">
        <v>0</v>
      </c>
      <c r="CO50" s="341"/>
      <c r="CP50" s="347">
        <v>8064</v>
      </c>
      <c r="CQ50" s="341"/>
      <c r="CR50" s="342">
        <f t="shared" si="2"/>
        <v>1809551.08</v>
      </c>
    </row>
    <row r="51" spans="1:96" x14ac:dyDescent="0.25">
      <c r="A51" s="45" t="s">
        <v>382</v>
      </c>
      <c r="B51" s="45">
        <v>-91967.940000000017</v>
      </c>
      <c r="C51" s="45">
        <v>-17149.16</v>
      </c>
      <c r="D51" s="45">
        <v>565836</v>
      </c>
      <c r="E51" s="45">
        <v>78011.650000000009</v>
      </c>
      <c r="F51" s="45">
        <v>1478.04</v>
      </c>
      <c r="G51" s="45">
        <v>1282.6500000000001</v>
      </c>
      <c r="I51" s="45">
        <v>261870.08000000002</v>
      </c>
      <c r="J51" s="45">
        <v>978527.91999999993</v>
      </c>
      <c r="M51" s="45">
        <v>2095.29</v>
      </c>
      <c r="N51" s="45">
        <v>55014.879999999997</v>
      </c>
      <c r="O51" s="45">
        <v>12999761</v>
      </c>
      <c r="P51" s="45">
        <v>605</v>
      </c>
      <c r="Q51" s="45">
        <v>1262420.7600000002</v>
      </c>
      <c r="R51" s="45">
        <v>4016089.3300000005</v>
      </c>
      <c r="S51" s="45">
        <v>7462520.1399999987</v>
      </c>
      <c r="T51" s="45">
        <v>1384737.19</v>
      </c>
      <c r="U51" s="45">
        <v>126307.59999999998</v>
      </c>
      <c r="V51" s="45">
        <v>1884824.7599999998</v>
      </c>
      <c r="W51" s="45">
        <v>15799.38</v>
      </c>
      <c r="X51" s="45">
        <v>96681.61</v>
      </c>
      <c r="Y51" s="45">
        <v>121859.72999999998</v>
      </c>
      <c r="Z51" s="45">
        <v>2259359.2600000002</v>
      </c>
      <c r="AA51" s="45">
        <v>70073.810000000012</v>
      </c>
      <c r="AB51" s="45">
        <v>15309.409999999998</v>
      </c>
      <c r="AC51" s="45">
        <v>39415.279999999999</v>
      </c>
      <c r="AD51" s="45">
        <v>5092076.8099999987</v>
      </c>
      <c r="AE51" s="45">
        <v>743687.89</v>
      </c>
      <c r="AG51" s="45">
        <v>100010.61000000002</v>
      </c>
      <c r="AH51" s="45">
        <v>40562.28</v>
      </c>
      <c r="AI51" s="45">
        <v>1119657.28</v>
      </c>
      <c r="AJ51" s="45">
        <v>2445849</v>
      </c>
      <c r="AK51" s="45">
        <v>501741.53000000009</v>
      </c>
      <c r="AN51" s="45">
        <v>1125033.2</v>
      </c>
      <c r="AO51" s="45">
        <v>9633.25</v>
      </c>
      <c r="AP51" s="45">
        <v>151256.25999999998</v>
      </c>
      <c r="AQ51" s="45">
        <v>346322.13999999996</v>
      </c>
      <c r="AR51" s="45">
        <v>338962.4</v>
      </c>
      <c r="AS51" s="45">
        <v>21166.75</v>
      </c>
      <c r="AT51" s="45">
        <v>36235</v>
      </c>
      <c r="AU51" s="45">
        <v>57385.47</v>
      </c>
      <c r="AV51" s="45">
        <v>15761.75</v>
      </c>
      <c r="AX51" s="45">
        <v>8176.9699999999993</v>
      </c>
      <c r="AY51" s="45">
        <v>53687.81</v>
      </c>
      <c r="AZ51" s="45">
        <v>10440</v>
      </c>
      <c r="BA51" s="45">
        <v>513848.15999999992</v>
      </c>
      <c r="BC51" s="45">
        <v>47175.3</v>
      </c>
      <c r="BD51" s="45">
        <v>148268.95999999996</v>
      </c>
      <c r="BE51" s="45">
        <v>588.17999999999995</v>
      </c>
      <c r="BF51" s="45">
        <v>2543268.4100000006</v>
      </c>
      <c r="BG51" s="45">
        <v>610519.9</v>
      </c>
      <c r="BH51" s="45">
        <v>250000</v>
      </c>
      <c r="BL51" s="2">
        <f t="shared" si="1"/>
        <v>49922078.980000004</v>
      </c>
      <c r="BN51" s="341">
        <v>22908.620000000003</v>
      </c>
      <c r="BO51" s="341">
        <v>2443170.6500000004</v>
      </c>
      <c r="BP51" s="341">
        <v>1824.5900000000001</v>
      </c>
      <c r="BQ51" s="341"/>
      <c r="BR51" s="341">
        <v>140000</v>
      </c>
      <c r="BS51" s="341">
        <v>202125</v>
      </c>
      <c r="BT51" s="341"/>
      <c r="BU51" s="341"/>
      <c r="BV51" s="341"/>
      <c r="BW51" s="341"/>
      <c r="BX51" s="341"/>
      <c r="BY51" s="341">
        <v>95538.58</v>
      </c>
      <c r="BZ51" s="341"/>
      <c r="CA51" s="341"/>
      <c r="CB51" s="347"/>
      <c r="CC51" s="341"/>
      <c r="CD51" s="341"/>
      <c r="CE51" s="341">
        <v>904233.00000000012</v>
      </c>
      <c r="CF51" s="341">
        <v>1076.5</v>
      </c>
      <c r="CG51" s="341">
        <v>376962.14999999997</v>
      </c>
      <c r="CH51" s="341">
        <v>58529.78</v>
      </c>
      <c r="CI51" s="341">
        <v>227781.26000000007</v>
      </c>
      <c r="CJ51" s="341">
        <v>2923.82</v>
      </c>
      <c r="CK51" s="341">
        <v>12235.92</v>
      </c>
      <c r="CL51" s="341"/>
      <c r="CM51" s="341"/>
      <c r="CN51" s="341"/>
      <c r="CO51" s="341"/>
      <c r="CP51" s="347">
        <v>51730</v>
      </c>
      <c r="CQ51" s="341"/>
      <c r="CR51" s="342">
        <f t="shared" si="2"/>
        <v>4541039.87</v>
      </c>
    </row>
    <row r="52" spans="1:96" x14ac:dyDescent="0.25">
      <c r="A52" s="45" t="s">
        <v>383</v>
      </c>
      <c r="B52" s="45">
        <v>-127943.47</v>
      </c>
      <c r="C52" s="45">
        <v>-23444.29</v>
      </c>
      <c r="D52" s="45">
        <v>518683.00000000006</v>
      </c>
      <c r="E52" s="45">
        <v>101355.47</v>
      </c>
      <c r="F52" s="45">
        <v>156.96</v>
      </c>
      <c r="G52" s="45">
        <v>1282.6500000000001</v>
      </c>
      <c r="I52" s="45">
        <v>349160.11</v>
      </c>
      <c r="J52" s="45">
        <v>928355.89000000036</v>
      </c>
      <c r="M52" s="45">
        <v>2473.8200000000002</v>
      </c>
      <c r="N52" s="45">
        <v>43528.26</v>
      </c>
      <c r="O52" s="45">
        <v>15785200</v>
      </c>
      <c r="P52" s="45">
        <v>110</v>
      </c>
      <c r="Q52" s="45">
        <v>1942722.1199999996</v>
      </c>
      <c r="R52" s="45">
        <v>5491780.1400000006</v>
      </c>
      <c r="S52" s="45">
        <v>8885378.1500000004</v>
      </c>
      <c r="T52" s="45">
        <v>2442724.9900000002</v>
      </c>
      <c r="U52" s="45">
        <v>144017.13</v>
      </c>
      <c r="V52" s="45">
        <v>1257347.1799999997</v>
      </c>
      <c r="W52" s="45">
        <v>19580.950000000004</v>
      </c>
      <c r="X52" s="45">
        <v>134746.56999999998</v>
      </c>
      <c r="Y52" s="45">
        <v>184352.9</v>
      </c>
      <c r="Z52" s="45">
        <v>4274317.9400000004</v>
      </c>
      <c r="AA52" s="45">
        <v>120380.12999999999</v>
      </c>
      <c r="AB52" s="45">
        <v>62953.600000000006</v>
      </c>
      <c r="AC52" s="45">
        <v>36058.790000000008</v>
      </c>
      <c r="AD52" s="45">
        <v>4519527.3</v>
      </c>
      <c r="AE52" s="45">
        <v>641060.47000000009</v>
      </c>
      <c r="AG52" s="45">
        <v>68740.56</v>
      </c>
      <c r="AH52" s="45">
        <v>48675.92</v>
      </c>
      <c r="AI52" s="45">
        <v>1290740.81</v>
      </c>
      <c r="AJ52" s="45">
        <v>3032811</v>
      </c>
      <c r="AK52" s="45">
        <v>622150.92999999982</v>
      </c>
      <c r="AN52" s="45">
        <v>1283924.0999999999</v>
      </c>
      <c r="AO52" s="45">
        <v>12350.33</v>
      </c>
      <c r="AP52" s="45">
        <v>187393.94999999998</v>
      </c>
      <c r="AQ52" s="45">
        <v>421765.83999999997</v>
      </c>
      <c r="AR52" s="45">
        <v>365970.95999999996</v>
      </c>
      <c r="AS52" s="45">
        <v>24138.5</v>
      </c>
      <c r="AT52" s="45">
        <v>42825</v>
      </c>
      <c r="AU52" s="45">
        <v>36866.660000000003</v>
      </c>
      <c r="AV52" s="45">
        <v>18675.77</v>
      </c>
      <c r="AX52" s="45">
        <v>22406.34</v>
      </c>
      <c r="AY52" s="45">
        <v>73046.850000000006</v>
      </c>
      <c r="AZ52" s="45">
        <v>12688</v>
      </c>
      <c r="BA52" s="45">
        <v>495749.7699999999</v>
      </c>
      <c r="BC52" s="45">
        <v>29214.2</v>
      </c>
      <c r="BD52" s="45">
        <v>264377.67</v>
      </c>
      <c r="BE52" s="45">
        <v>2352.7199999999998</v>
      </c>
      <c r="BF52" s="45">
        <v>2856137.2600000002</v>
      </c>
      <c r="BG52" s="45">
        <v>724711.71</v>
      </c>
      <c r="BH52" s="45">
        <v>79000</v>
      </c>
      <c r="BI52" s="45">
        <v>63645.660000000011</v>
      </c>
      <c r="BL52" s="2">
        <f t="shared" si="1"/>
        <v>59816227.270000026</v>
      </c>
      <c r="BN52" s="341">
        <v>37366.039999999994</v>
      </c>
      <c r="BO52" s="341">
        <v>3035602.2799999993</v>
      </c>
      <c r="BP52" s="341">
        <v>1765.2800000000002</v>
      </c>
      <c r="BQ52" s="341"/>
      <c r="BR52" s="341"/>
      <c r="BS52" s="341">
        <v>256850</v>
      </c>
      <c r="BT52" s="341"/>
      <c r="BU52" s="341"/>
      <c r="BV52" s="341"/>
      <c r="BW52" s="341"/>
      <c r="BX52" s="341"/>
      <c r="BY52" s="341">
        <v>127384.77</v>
      </c>
      <c r="BZ52" s="341"/>
      <c r="CA52" s="341"/>
      <c r="CB52" s="347"/>
      <c r="CC52" s="341"/>
      <c r="CD52" s="341"/>
      <c r="CE52" s="341">
        <v>783668.6</v>
      </c>
      <c r="CF52" s="341">
        <v>1076.5</v>
      </c>
      <c r="CG52" s="341">
        <v>476552.58000000007</v>
      </c>
      <c r="CH52" s="341"/>
      <c r="CI52" s="341">
        <v>217034.91</v>
      </c>
      <c r="CJ52" s="341">
        <v>5145.93</v>
      </c>
      <c r="CK52" s="341"/>
      <c r="CL52" s="341"/>
      <c r="CM52" s="341"/>
      <c r="CN52" s="341"/>
      <c r="CO52" s="341"/>
      <c r="CP52" s="347">
        <v>62646</v>
      </c>
      <c r="CQ52" s="341"/>
      <c r="CR52" s="342">
        <f t="shared" si="2"/>
        <v>5005092.8899999987</v>
      </c>
    </row>
    <row r="53" spans="1:96" x14ac:dyDescent="0.25">
      <c r="A53" s="45" t="s">
        <v>51</v>
      </c>
      <c r="B53" s="45">
        <v>-158001.35</v>
      </c>
      <c r="C53" s="45">
        <v>-36408.26</v>
      </c>
      <c r="D53" s="45">
        <v>330071</v>
      </c>
      <c r="E53" s="45">
        <v>42827.759999999995</v>
      </c>
      <c r="F53" s="45">
        <v>11263.16</v>
      </c>
      <c r="G53" s="45">
        <v>641.33000000000004</v>
      </c>
      <c r="I53" s="45">
        <v>174580.06</v>
      </c>
      <c r="J53" s="45">
        <v>487906.5199999999</v>
      </c>
      <c r="N53" s="45">
        <v>30832.52</v>
      </c>
      <c r="O53" s="45">
        <v>7080219</v>
      </c>
      <c r="Q53" s="45">
        <v>682107.32000000007</v>
      </c>
      <c r="R53" s="45">
        <v>2120619.88</v>
      </c>
      <c r="S53" s="45">
        <v>3877890.66</v>
      </c>
      <c r="T53" s="45">
        <v>430559.49</v>
      </c>
      <c r="U53" s="45">
        <v>36187.090000000004</v>
      </c>
      <c r="V53" s="45">
        <v>1395156.9200000002</v>
      </c>
      <c r="W53" s="45">
        <v>6378.81</v>
      </c>
      <c r="X53" s="45">
        <v>19338.930000000004</v>
      </c>
      <c r="Y53" s="45">
        <v>59150.80000000001</v>
      </c>
      <c r="Z53" s="45">
        <v>1453173.71</v>
      </c>
      <c r="AA53" s="45">
        <v>5204.2999999999993</v>
      </c>
      <c r="AB53" s="45">
        <v>5204.3</v>
      </c>
      <c r="AC53" s="45">
        <v>34567.07</v>
      </c>
      <c r="AD53" s="45">
        <v>2685235.61</v>
      </c>
      <c r="AE53" s="45">
        <v>155035.44</v>
      </c>
      <c r="AG53" s="45">
        <v>3995.79</v>
      </c>
      <c r="AH53" s="45">
        <v>26290.81</v>
      </c>
      <c r="AI53" s="45">
        <v>696434.01000000013</v>
      </c>
      <c r="AJ53" s="45">
        <v>1272728</v>
      </c>
      <c r="AK53" s="45">
        <v>261087.45</v>
      </c>
      <c r="AN53" s="45">
        <v>665583.16000000015</v>
      </c>
      <c r="AO53" s="45">
        <v>7904.21</v>
      </c>
      <c r="AP53" s="45">
        <v>79082.490000000005</v>
      </c>
      <c r="AQ53" s="45">
        <v>188421.65000000002</v>
      </c>
      <c r="AR53" s="45">
        <v>177613.89</v>
      </c>
      <c r="AS53" s="45">
        <v>10918.5</v>
      </c>
      <c r="AT53" s="45">
        <v>17720</v>
      </c>
      <c r="AU53" s="45">
        <v>35134.080000000002</v>
      </c>
      <c r="AV53" s="45">
        <v>7871.48</v>
      </c>
      <c r="AX53" s="45">
        <v>4455.8999999999996</v>
      </c>
      <c r="AY53" s="45">
        <v>29522.34</v>
      </c>
      <c r="AZ53" s="45">
        <v>11770</v>
      </c>
      <c r="BA53" s="45">
        <v>150458.88999999998</v>
      </c>
      <c r="BC53" s="45">
        <v>20651.349999999999</v>
      </c>
      <c r="BD53" s="45">
        <v>174495.87</v>
      </c>
      <c r="BF53" s="45">
        <v>1626738.0599999998</v>
      </c>
      <c r="BG53" s="45">
        <v>366311.93999999994</v>
      </c>
      <c r="BH53" s="45">
        <v>228000</v>
      </c>
      <c r="BI53" s="45">
        <v>450000.00000000012</v>
      </c>
      <c r="BL53" s="2">
        <f t="shared" si="1"/>
        <v>27442931.940000001</v>
      </c>
      <c r="BN53" s="341">
        <v>8643.49</v>
      </c>
      <c r="BO53" s="341">
        <v>1459988.9999999998</v>
      </c>
      <c r="BP53" s="341">
        <v>1144.78</v>
      </c>
      <c r="BQ53" s="341"/>
      <c r="BR53" s="341">
        <v>205000</v>
      </c>
      <c r="BS53" s="341">
        <v>110550</v>
      </c>
      <c r="BT53" s="341"/>
      <c r="BU53" s="341"/>
      <c r="BV53" s="341"/>
      <c r="BW53" s="341"/>
      <c r="BX53" s="341"/>
      <c r="BY53" s="341">
        <v>77101.31</v>
      </c>
      <c r="BZ53" s="341"/>
      <c r="CA53" s="341">
        <v>10000</v>
      </c>
      <c r="CB53" s="347"/>
      <c r="CC53" s="341"/>
      <c r="CD53" s="341"/>
      <c r="CE53" s="341">
        <v>169944.5</v>
      </c>
      <c r="CF53" s="341">
        <v>1076.5</v>
      </c>
      <c r="CG53" s="341"/>
      <c r="CH53" s="341">
        <v>869561.40999999992</v>
      </c>
      <c r="CI53" s="341">
        <v>237817.63999999998</v>
      </c>
      <c r="CJ53" s="341">
        <v>1286.48</v>
      </c>
      <c r="CK53" s="341"/>
      <c r="CL53" s="341"/>
      <c r="CM53" s="341">
        <v>9021.6</v>
      </c>
      <c r="CN53" s="341"/>
      <c r="CO53" s="341"/>
      <c r="CP53" s="347">
        <v>27880</v>
      </c>
      <c r="CQ53" s="341"/>
      <c r="CR53" s="342">
        <f t="shared" si="2"/>
        <v>3189016.71</v>
      </c>
    </row>
    <row r="54" spans="1:96" x14ac:dyDescent="0.25">
      <c r="A54" s="45" t="s">
        <v>52</v>
      </c>
      <c r="B54" s="45">
        <v>-116706.75</v>
      </c>
      <c r="C54" s="45">
        <v>-24800.32</v>
      </c>
      <c r="D54" s="45">
        <v>188612</v>
      </c>
      <c r="E54" s="45">
        <v>22167.210000000003</v>
      </c>
      <c r="G54" s="45">
        <v>641.33000000000004</v>
      </c>
      <c r="I54" s="45">
        <v>87290.03</v>
      </c>
      <c r="J54" s="45">
        <v>263260.97000000003</v>
      </c>
      <c r="N54" s="45">
        <v>16927.66</v>
      </c>
      <c r="O54" s="45">
        <v>4062342</v>
      </c>
      <c r="P54" s="45">
        <v>55</v>
      </c>
      <c r="Q54" s="45">
        <v>360470.62</v>
      </c>
      <c r="R54" s="45">
        <v>1167811.0900000001</v>
      </c>
      <c r="S54" s="45">
        <v>1929920.6400000004</v>
      </c>
      <c r="T54" s="45">
        <v>790880.53000000014</v>
      </c>
      <c r="U54" s="45">
        <v>35680.370000000003</v>
      </c>
      <c r="V54" s="45">
        <v>919078.53</v>
      </c>
      <c r="W54" s="45">
        <v>2004.7199999999998</v>
      </c>
      <c r="X54" s="45">
        <v>20126.859999999997</v>
      </c>
      <c r="Y54" s="45">
        <v>55560.01999999999</v>
      </c>
      <c r="Z54" s="45">
        <v>886776.68000000017</v>
      </c>
      <c r="AA54" s="45">
        <v>31766.240000000002</v>
      </c>
      <c r="AB54" s="45">
        <v>30344.79</v>
      </c>
      <c r="AC54" s="45">
        <v>11130.350000000002</v>
      </c>
      <c r="AD54" s="45">
        <v>900084.70999999973</v>
      </c>
      <c r="AE54" s="45">
        <v>273020.74999999994</v>
      </c>
      <c r="AH54" s="45">
        <v>18632.580000000002</v>
      </c>
      <c r="AI54" s="45">
        <v>391681.79</v>
      </c>
      <c r="AJ54" s="45">
        <v>678925.99999999988</v>
      </c>
      <c r="AK54" s="45">
        <v>139274.9</v>
      </c>
      <c r="AN54" s="45">
        <v>368731.49</v>
      </c>
      <c r="AO54" s="45">
        <v>2223.06</v>
      </c>
      <c r="AP54" s="45">
        <v>59960.3</v>
      </c>
      <c r="AQ54" s="45">
        <v>101848.54999999999</v>
      </c>
      <c r="AR54" s="45">
        <v>87652.3</v>
      </c>
      <c r="AS54" s="45">
        <v>5125.25</v>
      </c>
      <c r="AT54" s="45">
        <v>9317</v>
      </c>
      <c r="AU54" s="45">
        <v>31601.439999999995</v>
      </c>
      <c r="AV54" s="45">
        <v>4280.07</v>
      </c>
      <c r="AX54" s="45">
        <v>6798.75</v>
      </c>
      <c r="AZ54" s="45">
        <v>1992</v>
      </c>
      <c r="BA54" s="45">
        <v>128980.83000000002</v>
      </c>
      <c r="BC54" s="45">
        <v>12506.2</v>
      </c>
      <c r="BD54" s="45">
        <v>29129.359999999993</v>
      </c>
      <c r="BE54" s="45">
        <v>588.17999999999995</v>
      </c>
      <c r="BF54" s="45">
        <v>984732.89000000013</v>
      </c>
      <c r="BG54" s="45">
        <v>183155.97</v>
      </c>
      <c r="BH54" s="45">
        <v>250000</v>
      </c>
      <c r="BI54" s="45">
        <v>83285.280000000013</v>
      </c>
      <c r="BL54" s="2">
        <f t="shared" si="1"/>
        <v>15494870.219999997</v>
      </c>
      <c r="BN54" s="341">
        <v>10001.39</v>
      </c>
      <c r="BO54" s="341">
        <v>739209.61</v>
      </c>
      <c r="BP54" s="341">
        <v>715.8</v>
      </c>
      <c r="BQ54" s="341"/>
      <c r="BR54" s="341">
        <v>250000</v>
      </c>
      <c r="BS54" s="341">
        <v>57475</v>
      </c>
      <c r="BT54" s="341"/>
      <c r="BU54" s="341"/>
      <c r="BV54" s="341"/>
      <c r="BW54" s="341"/>
      <c r="BX54" s="341"/>
      <c r="BY54" s="341">
        <v>21789.5</v>
      </c>
      <c r="BZ54" s="341"/>
      <c r="CA54" s="341"/>
      <c r="CB54" s="347"/>
      <c r="CC54" s="341"/>
      <c r="CD54" s="341"/>
      <c r="CE54" s="341">
        <v>179564</v>
      </c>
      <c r="CF54" s="341">
        <v>1076.5</v>
      </c>
      <c r="CG54" s="341"/>
      <c r="CH54" s="341">
        <v>286134.44000000006</v>
      </c>
      <c r="CI54" s="341"/>
      <c r="CJ54" s="341"/>
      <c r="CK54" s="341"/>
      <c r="CL54" s="341"/>
      <c r="CM54" s="341">
        <v>7217.28</v>
      </c>
      <c r="CN54" s="341"/>
      <c r="CO54" s="341">
        <v>160000</v>
      </c>
      <c r="CP54" s="347">
        <v>15990</v>
      </c>
      <c r="CQ54" s="341"/>
      <c r="CR54" s="342">
        <f t="shared" si="2"/>
        <v>1729173.5200000003</v>
      </c>
    </row>
    <row r="55" spans="1:96" x14ac:dyDescent="0.25">
      <c r="A55" s="45" t="s">
        <v>384</v>
      </c>
      <c r="B55" s="45">
        <v>-6184.48</v>
      </c>
      <c r="D55" s="45">
        <v>141459</v>
      </c>
      <c r="E55" s="45">
        <v>12898.930000000004</v>
      </c>
      <c r="G55" s="45">
        <v>641.33000000000004</v>
      </c>
      <c r="I55" s="45">
        <v>87290.03</v>
      </c>
      <c r="J55" s="45">
        <v>432037.6700000001</v>
      </c>
      <c r="M55" s="45">
        <v>378.92</v>
      </c>
      <c r="N55" s="45">
        <v>24182.36</v>
      </c>
      <c r="O55" s="45">
        <v>2123888</v>
      </c>
      <c r="Q55" s="45">
        <v>195132.80999999997</v>
      </c>
      <c r="R55" s="45">
        <v>690815.66</v>
      </c>
      <c r="S55" s="45">
        <v>978220.05999999994</v>
      </c>
      <c r="T55" s="45">
        <v>252330.36000000004</v>
      </c>
      <c r="U55" s="45">
        <v>38636.909999999996</v>
      </c>
      <c r="V55" s="45">
        <v>182883.96</v>
      </c>
      <c r="W55" s="45">
        <v>3857.8999999999996</v>
      </c>
      <c r="X55" s="45">
        <v>25925.119999999999</v>
      </c>
      <c r="Y55" s="45">
        <v>54512.189999999995</v>
      </c>
      <c r="Z55" s="45">
        <v>380447.25</v>
      </c>
      <c r="AA55" s="45">
        <v>9123.94</v>
      </c>
      <c r="AB55" s="45">
        <v>4957.41</v>
      </c>
      <c r="AC55" s="45">
        <v>3998.2999999999997</v>
      </c>
      <c r="AD55" s="45">
        <v>1027861.49</v>
      </c>
      <c r="AE55" s="45">
        <v>88133.83</v>
      </c>
      <c r="AH55" s="45">
        <v>15122.12</v>
      </c>
      <c r="AI55" s="45">
        <v>282702.30999999994</v>
      </c>
      <c r="AJ55" s="45">
        <v>321640.00000000006</v>
      </c>
      <c r="AK55" s="45">
        <v>65981.239999999991</v>
      </c>
      <c r="AN55" s="45">
        <v>231860.05999999997</v>
      </c>
      <c r="AO55" s="45">
        <v>1482.04</v>
      </c>
      <c r="AP55" s="45">
        <v>53479.560000000005</v>
      </c>
      <c r="AQ55" s="45">
        <v>62658.62999999999</v>
      </c>
      <c r="AR55" s="45">
        <v>65061.500000000007</v>
      </c>
      <c r="AS55" s="45">
        <v>3912</v>
      </c>
      <c r="AT55" s="45">
        <v>5214.75</v>
      </c>
      <c r="AU55" s="45">
        <v>9143.2300000000014</v>
      </c>
      <c r="AV55" s="45">
        <v>2949.13</v>
      </c>
      <c r="AX55" s="45">
        <v>26337.1</v>
      </c>
      <c r="AY55" s="45">
        <v>9524.07</v>
      </c>
      <c r="AZ55" s="45">
        <v>1856</v>
      </c>
      <c r="BA55" s="45">
        <v>16396.09</v>
      </c>
      <c r="BC55" s="45">
        <v>10835.4</v>
      </c>
      <c r="BD55" s="45">
        <v>9683.3399999999983</v>
      </c>
      <c r="BE55" s="45">
        <v>294.08999999999997</v>
      </c>
      <c r="BF55" s="45">
        <v>616319.52999999991</v>
      </c>
      <c r="BG55" s="45">
        <v>122103.98</v>
      </c>
      <c r="BH55" s="45">
        <v>233760</v>
      </c>
      <c r="BL55" s="2">
        <f t="shared" si="1"/>
        <v>8921745.120000001</v>
      </c>
      <c r="BN55" s="341"/>
      <c r="BO55" s="341">
        <v>549646.44999999995</v>
      </c>
      <c r="BP55" s="341">
        <v>961.91000000000008</v>
      </c>
      <c r="BQ55" s="341"/>
      <c r="BR55" s="341">
        <v>480000</v>
      </c>
      <c r="BS55" s="341">
        <v>28600</v>
      </c>
      <c r="BT55" s="341"/>
      <c r="BU55" s="341"/>
      <c r="BV55" s="341"/>
      <c r="BW55" s="341"/>
      <c r="BX55" s="341"/>
      <c r="BY55" s="341">
        <v>35198.42</v>
      </c>
      <c r="BZ55" s="341"/>
      <c r="CA55" s="341"/>
      <c r="CB55" s="347"/>
      <c r="CC55" s="341"/>
      <c r="CD55" s="341"/>
      <c r="CE55" s="341">
        <v>28858.499999999993</v>
      </c>
      <c r="CF55" s="341">
        <v>1076.5</v>
      </c>
      <c r="CG55" s="341"/>
      <c r="CH55" s="341">
        <v>325120.89</v>
      </c>
      <c r="CI55" s="341"/>
      <c r="CJ55" s="341"/>
      <c r="CK55" s="341"/>
      <c r="CL55" s="341"/>
      <c r="CM55" s="341">
        <v>18043.2</v>
      </c>
      <c r="CN55" s="341"/>
      <c r="CO55" s="341"/>
      <c r="CP55" s="347">
        <v>8605</v>
      </c>
      <c r="CQ55" s="341"/>
      <c r="CR55" s="342">
        <f t="shared" si="2"/>
        <v>1476110.8699999999</v>
      </c>
    </row>
    <row r="56" spans="1:96" x14ac:dyDescent="0.25">
      <c r="A56" s="45" t="s">
        <v>385</v>
      </c>
      <c r="B56" s="45">
        <v>-233798.03</v>
      </c>
      <c r="C56" s="45">
        <v>-56217.41</v>
      </c>
      <c r="D56" s="45">
        <v>1131672</v>
      </c>
      <c r="E56" s="45">
        <v>185258.31</v>
      </c>
      <c r="F56" s="45">
        <v>17570.900000000001</v>
      </c>
      <c r="G56" s="45">
        <v>4489.29</v>
      </c>
      <c r="H56" s="45">
        <v>621.25</v>
      </c>
      <c r="I56" s="45">
        <v>494643.49000000005</v>
      </c>
      <c r="J56" s="45">
        <v>2083470.0899999999</v>
      </c>
      <c r="K56" s="45">
        <v>42276.56</v>
      </c>
      <c r="M56" s="45">
        <v>2726.71</v>
      </c>
      <c r="N56" s="45">
        <v>97938.58</v>
      </c>
      <c r="O56" s="45">
        <v>32310839.000000007</v>
      </c>
      <c r="P56" s="45">
        <v>455.61999999999995</v>
      </c>
      <c r="Q56" s="45">
        <v>3524870.46</v>
      </c>
      <c r="R56" s="45">
        <v>10322243.909999998</v>
      </c>
      <c r="S56" s="45">
        <v>18697806.109999999</v>
      </c>
      <c r="T56" s="45">
        <v>3655541.96</v>
      </c>
      <c r="U56" s="45">
        <v>231754.66999999998</v>
      </c>
      <c r="V56" s="45">
        <v>4190504.8499999996</v>
      </c>
      <c r="W56" s="45">
        <v>48014.27</v>
      </c>
      <c r="X56" s="45">
        <v>214113.09000000003</v>
      </c>
      <c r="Y56" s="45">
        <v>124935.40999999999</v>
      </c>
      <c r="Z56" s="45">
        <v>5770303.29</v>
      </c>
      <c r="AA56" s="45">
        <v>226534.41</v>
      </c>
      <c r="AB56" s="45">
        <v>165810.22999999998</v>
      </c>
      <c r="AC56" s="45">
        <v>82925.75</v>
      </c>
      <c r="AD56" s="45">
        <v>13584285.75</v>
      </c>
      <c r="AE56" s="45">
        <v>2210521.0700000003</v>
      </c>
      <c r="AG56" s="45">
        <v>12500</v>
      </c>
      <c r="AH56" s="45">
        <v>83780.73</v>
      </c>
      <c r="AI56" s="45">
        <v>2126977.1</v>
      </c>
      <c r="AJ56" s="45">
        <v>6852789.9999999991</v>
      </c>
      <c r="AK56" s="45">
        <v>1405781.52</v>
      </c>
      <c r="AN56" s="45">
        <v>2373772.7600000002</v>
      </c>
      <c r="AO56" s="45">
        <v>25935.68</v>
      </c>
      <c r="AP56" s="45">
        <v>367257.85</v>
      </c>
      <c r="AQ56" s="45">
        <v>823640.15</v>
      </c>
      <c r="AR56" s="45">
        <v>662663.46</v>
      </c>
      <c r="AS56" s="45">
        <v>52214.25</v>
      </c>
      <c r="AT56" s="45">
        <v>66461.5</v>
      </c>
      <c r="AU56" s="45">
        <v>108366.77</v>
      </c>
      <c r="AV56" s="45">
        <v>39031.85</v>
      </c>
      <c r="AX56" s="45">
        <v>175391.15</v>
      </c>
      <c r="AY56" s="45">
        <v>142371.51</v>
      </c>
      <c r="AZ56" s="45">
        <v>65258</v>
      </c>
      <c r="BA56" s="45">
        <v>1733765.0799999998</v>
      </c>
      <c r="BB56" s="45">
        <v>40440</v>
      </c>
      <c r="BC56" s="45">
        <v>192743.75</v>
      </c>
      <c r="BD56" s="45">
        <v>514453.26999999996</v>
      </c>
      <c r="BE56" s="45">
        <v>2940.9</v>
      </c>
      <c r="BF56" s="45">
        <v>4770613.6900000004</v>
      </c>
      <c r="BG56" s="45">
        <v>1037883.8300000001</v>
      </c>
      <c r="BH56" s="45">
        <v>175000</v>
      </c>
      <c r="BL56" s="2">
        <f t="shared" si="1"/>
        <v>122984146.39</v>
      </c>
      <c r="BN56" s="341">
        <v>65717.19</v>
      </c>
      <c r="BO56" s="341">
        <v>7273935.1799999988</v>
      </c>
      <c r="BP56" s="341">
        <v>4197.28</v>
      </c>
      <c r="BQ56" s="341"/>
      <c r="BR56" s="341">
        <v>140000</v>
      </c>
      <c r="BS56" s="341">
        <v>553575</v>
      </c>
      <c r="BT56" s="341"/>
      <c r="BU56" s="341"/>
      <c r="BV56" s="341">
        <v>32500</v>
      </c>
      <c r="BW56" s="341">
        <v>66667</v>
      </c>
      <c r="BX56" s="341">
        <v>33161</v>
      </c>
      <c r="BY56" s="341">
        <v>162583.19</v>
      </c>
      <c r="BZ56" s="341"/>
      <c r="CA56" s="341"/>
      <c r="CB56" s="347"/>
      <c r="CC56" s="341"/>
      <c r="CD56" s="341"/>
      <c r="CE56" s="341">
        <v>2653058.14</v>
      </c>
      <c r="CF56" s="341">
        <v>1076.5</v>
      </c>
      <c r="CG56" s="341">
        <v>684787.13</v>
      </c>
      <c r="CH56" s="341"/>
      <c r="CI56" s="341">
        <v>270770.13999999996</v>
      </c>
      <c r="CJ56" s="341">
        <v>1228.01</v>
      </c>
      <c r="CK56" s="341"/>
      <c r="CL56" s="341"/>
      <c r="CM56" s="341"/>
      <c r="CN56" s="341"/>
      <c r="CO56" s="341"/>
      <c r="CP56" s="347">
        <v>129510</v>
      </c>
      <c r="CQ56" s="341"/>
      <c r="CR56" s="342">
        <f t="shared" si="2"/>
        <v>12072765.760000002</v>
      </c>
    </row>
    <row r="57" spans="1:96" x14ac:dyDescent="0.25">
      <c r="A57" s="45" t="s">
        <v>386</v>
      </c>
      <c r="B57" s="45">
        <v>-100820.39</v>
      </c>
      <c r="C57" s="45">
        <v>-26953.9</v>
      </c>
      <c r="D57" s="45">
        <v>377224</v>
      </c>
      <c r="E57" s="45">
        <v>66493.33</v>
      </c>
      <c r="F57" s="45">
        <v>518.62</v>
      </c>
      <c r="G57" s="45">
        <v>1923.98</v>
      </c>
      <c r="I57" s="45">
        <v>203676.72999999998</v>
      </c>
      <c r="J57" s="45">
        <v>795219.17999999993</v>
      </c>
      <c r="M57" s="45">
        <v>2184.66</v>
      </c>
      <c r="N57" s="45">
        <v>42319.14</v>
      </c>
      <c r="O57" s="45">
        <v>9314150</v>
      </c>
      <c r="P57" s="45">
        <v>443.45000000000005</v>
      </c>
      <c r="Q57" s="45">
        <v>937514.17999999993</v>
      </c>
      <c r="R57" s="45">
        <v>2916686.53</v>
      </c>
      <c r="S57" s="45">
        <v>5072243.22</v>
      </c>
      <c r="T57" s="45">
        <v>1105878.5900000001</v>
      </c>
      <c r="U57" s="45">
        <v>70471.090000000011</v>
      </c>
      <c r="V57" s="45">
        <v>1361584.1400000001</v>
      </c>
      <c r="W57" s="45">
        <v>78334.819999999992</v>
      </c>
      <c r="X57" s="45">
        <v>120073.06</v>
      </c>
      <c r="Y57" s="45">
        <v>98531.829999999987</v>
      </c>
      <c r="Z57" s="45">
        <v>1966587.02</v>
      </c>
      <c r="AA57" s="45">
        <v>34681.050000000003</v>
      </c>
      <c r="AB57" s="45">
        <v>83610.91</v>
      </c>
      <c r="AC57" s="45">
        <v>70163.64</v>
      </c>
      <c r="AD57" s="45">
        <v>2681480.4400000004</v>
      </c>
      <c r="AE57" s="45">
        <v>600415.71</v>
      </c>
      <c r="AF57" s="45">
        <v>280725.27</v>
      </c>
      <c r="AG57" s="45">
        <v>12400</v>
      </c>
      <c r="AH57" s="45">
        <v>35544.47</v>
      </c>
      <c r="AI57" s="45">
        <v>1092049.97</v>
      </c>
      <c r="AJ57" s="45">
        <v>2234861</v>
      </c>
      <c r="AK57" s="45">
        <v>458459.43999999994</v>
      </c>
      <c r="AN57" s="45">
        <v>844040.01000000024</v>
      </c>
      <c r="AO57" s="45">
        <v>13091.34</v>
      </c>
      <c r="AP57" s="45">
        <v>123844.19000000002</v>
      </c>
      <c r="AQ57" s="45">
        <v>294498.09000000003</v>
      </c>
      <c r="AR57" s="45">
        <v>209642.61999999994</v>
      </c>
      <c r="AS57" s="45">
        <v>16938.25</v>
      </c>
      <c r="AT57" s="45">
        <v>12796.75</v>
      </c>
      <c r="AU57" s="45">
        <v>23927.24</v>
      </c>
      <c r="AV57" s="45">
        <v>12428.62</v>
      </c>
      <c r="AY57" s="45">
        <v>54592.7</v>
      </c>
      <c r="AZ57" s="45">
        <v>2800</v>
      </c>
      <c r="BA57" s="45">
        <v>382180.48</v>
      </c>
      <c r="BC57" s="45">
        <v>10000</v>
      </c>
      <c r="BD57" s="45">
        <v>343164.30000000005</v>
      </c>
      <c r="BE57" s="45">
        <v>1764.54</v>
      </c>
      <c r="BF57" s="45">
        <v>2212294.8800000004</v>
      </c>
      <c r="BG57" s="45">
        <v>427363.93</v>
      </c>
      <c r="BH57" s="45">
        <v>121130</v>
      </c>
      <c r="BL57" s="2">
        <f t="shared" si="1"/>
        <v>37095173.119999997</v>
      </c>
      <c r="BN57" s="341">
        <v>9272.880000000001</v>
      </c>
      <c r="BO57" s="341">
        <v>2229022.3899999997</v>
      </c>
      <c r="BP57" s="341">
        <v>1760.42</v>
      </c>
      <c r="BQ57" s="341"/>
      <c r="BR57" s="341">
        <v>370000</v>
      </c>
      <c r="BS57" s="341">
        <v>182600</v>
      </c>
      <c r="BT57" s="341"/>
      <c r="BU57" s="341"/>
      <c r="BV57" s="341"/>
      <c r="BW57" s="341"/>
      <c r="BX57" s="341"/>
      <c r="BY57" s="341">
        <v>117328.07</v>
      </c>
      <c r="BZ57" s="341"/>
      <c r="CA57" s="341"/>
      <c r="CB57" s="347"/>
      <c r="CC57" s="341"/>
      <c r="CD57" s="341"/>
      <c r="CE57" s="341">
        <v>564344</v>
      </c>
      <c r="CF57" s="341">
        <v>1076.5</v>
      </c>
      <c r="CG57" s="341"/>
      <c r="CH57" s="341">
        <v>1186063.1900000002</v>
      </c>
      <c r="CI57" s="341">
        <v>677174.42999999993</v>
      </c>
      <c r="CJ57" s="341">
        <v>8635.0300000000007</v>
      </c>
      <c r="CK57" s="341"/>
      <c r="CL57" s="341"/>
      <c r="CM57" s="341">
        <v>13736.560000000001</v>
      </c>
      <c r="CN57" s="341">
        <v>20000</v>
      </c>
      <c r="CO57" s="341"/>
      <c r="CP57" s="347">
        <v>37494</v>
      </c>
      <c r="CQ57" s="341"/>
      <c r="CR57" s="342">
        <f t="shared" si="2"/>
        <v>5418507.4699999988</v>
      </c>
    </row>
    <row r="58" spans="1:96" x14ac:dyDescent="0.25">
      <c r="A58" s="45" t="s">
        <v>387</v>
      </c>
      <c r="B58" s="45">
        <v>-33986.93</v>
      </c>
      <c r="C58" s="45">
        <v>-767.36</v>
      </c>
      <c r="D58" s="45">
        <v>94306</v>
      </c>
      <c r="E58" s="45">
        <v>15500.509999999998</v>
      </c>
      <c r="G58" s="45">
        <v>663.44</v>
      </c>
      <c r="I58" s="45">
        <v>58193.35</v>
      </c>
      <c r="J58" s="45">
        <v>247921.68</v>
      </c>
      <c r="M58" s="45">
        <v>471.29</v>
      </c>
      <c r="N58" s="45">
        <v>11486.62</v>
      </c>
      <c r="O58" s="45">
        <v>2431577</v>
      </c>
      <c r="P58" s="45">
        <v>110</v>
      </c>
      <c r="Q58" s="45">
        <v>232091.18000000005</v>
      </c>
      <c r="R58" s="45">
        <v>758185.59000000008</v>
      </c>
      <c r="S58" s="45">
        <v>1252555.95</v>
      </c>
      <c r="T58" s="45">
        <v>277202.47999999992</v>
      </c>
      <c r="U58" s="45">
        <v>8701.32</v>
      </c>
      <c r="V58" s="45">
        <v>335185.79000000004</v>
      </c>
      <c r="W58" s="45">
        <v>7600.8100000000013</v>
      </c>
      <c r="X58" s="45">
        <v>22624.74</v>
      </c>
      <c r="Y58" s="45">
        <v>58022.8</v>
      </c>
      <c r="Z58" s="45">
        <v>600424.3899999999</v>
      </c>
      <c r="AA58" s="45">
        <v>17649.669999999998</v>
      </c>
      <c r="AB58" s="45">
        <v>8413.3799999999992</v>
      </c>
      <c r="AC58" s="45">
        <v>8706.380000000001</v>
      </c>
      <c r="AD58" s="45">
        <v>885563.3</v>
      </c>
      <c r="AE58" s="45">
        <v>70164.349999999991</v>
      </c>
      <c r="AG58" s="45">
        <v>12548.32</v>
      </c>
      <c r="AH58" s="45">
        <v>15770.41</v>
      </c>
      <c r="AI58" s="45">
        <v>238075.86000000002</v>
      </c>
      <c r="AJ58" s="45">
        <v>513216</v>
      </c>
      <c r="AK58" s="45">
        <v>105281.14000000001</v>
      </c>
      <c r="AN58" s="45">
        <v>207511.94</v>
      </c>
      <c r="AO58" s="45">
        <v>1482.04</v>
      </c>
      <c r="AP58" s="45">
        <v>27922.399999999998</v>
      </c>
      <c r="AQ58" s="45">
        <v>66040.75</v>
      </c>
      <c r="AR58" s="45">
        <v>59338.500000000015</v>
      </c>
      <c r="AS58" s="45">
        <v>3653.75</v>
      </c>
      <c r="AT58" s="45">
        <v>5140</v>
      </c>
      <c r="AU58" s="45">
        <v>18538.079999999998</v>
      </c>
      <c r="AV58" s="45">
        <v>2710.39</v>
      </c>
      <c r="AY58" s="45">
        <v>11177.02</v>
      </c>
      <c r="AZ58" s="45">
        <v>1728</v>
      </c>
      <c r="BA58" s="45">
        <v>73481.06</v>
      </c>
      <c r="BC58" s="45">
        <v>10000</v>
      </c>
      <c r="BD58" s="45">
        <v>67242.48</v>
      </c>
      <c r="BE58" s="45">
        <v>294.08999999999997</v>
      </c>
      <c r="BF58" s="45">
        <v>546626.46</v>
      </c>
      <c r="BH58" s="45">
        <v>260768</v>
      </c>
      <c r="BI58" s="45">
        <v>74593.259999999995</v>
      </c>
      <c r="BL58" s="2">
        <f t="shared" si="1"/>
        <v>9691707.6799999978</v>
      </c>
      <c r="BN58" s="341">
        <v>2303.7600000000002</v>
      </c>
      <c r="BO58" s="341">
        <v>647966.16000000015</v>
      </c>
      <c r="BP58" s="341">
        <v>387.62</v>
      </c>
      <c r="BQ58" s="341"/>
      <c r="BR58" s="341"/>
      <c r="BS58" s="341">
        <v>43450</v>
      </c>
      <c r="BT58" s="341">
        <v>36500</v>
      </c>
      <c r="BU58" s="341"/>
      <c r="BV58" s="341">
        <v>20000</v>
      </c>
      <c r="BW58" s="341"/>
      <c r="BX58" s="341"/>
      <c r="BY58" s="341">
        <v>15085.039999999999</v>
      </c>
      <c r="BZ58" s="341"/>
      <c r="CA58" s="341"/>
      <c r="CB58" s="347"/>
      <c r="CC58" s="341"/>
      <c r="CD58" s="341"/>
      <c r="CE58" s="341">
        <v>57716.999999999985</v>
      </c>
      <c r="CF58" s="341">
        <v>1076.5</v>
      </c>
      <c r="CG58" s="341"/>
      <c r="CH58" s="341">
        <v>612290.96000000008</v>
      </c>
      <c r="CI58" s="341">
        <v>193775.36000000002</v>
      </c>
      <c r="CJ58" s="341">
        <v>402.84</v>
      </c>
      <c r="CK58" s="341"/>
      <c r="CL58" s="341"/>
      <c r="CM58" s="341">
        <v>4811.5200000000004</v>
      </c>
      <c r="CN58" s="341"/>
      <c r="CO58" s="341"/>
      <c r="CP58" s="347">
        <v>9740</v>
      </c>
      <c r="CQ58" s="341"/>
      <c r="CR58" s="342">
        <f t="shared" si="2"/>
        <v>1645506.7600000005</v>
      </c>
    </row>
    <row r="59" spans="1:96" x14ac:dyDescent="0.25">
      <c r="A59" s="45" t="s">
        <v>388</v>
      </c>
      <c r="B59" s="45">
        <v>-60034.239999999991</v>
      </c>
      <c r="C59" s="45">
        <v>-4981.62</v>
      </c>
      <c r="D59" s="45">
        <v>141459</v>
      </c>
      <c r="E59" s="45">
        <v>24600.239999999998</v>
      </c>
      <c r="G59" s="45">
        <v>641.33000000000004</v>
      </c>
      <c r="I59" s="45">
        <v>58193.35</v>
      </c>
      <c r="J59" s="45">
        <v>448232.7</v>
      </c>
      <c r="M59" s="45">
        <v>863.07</v>
      </c>
      <c r="N59" s="45">
        <v>22368.69</v>
      </c>
      <c r="O59" s="45">
        <v>4726075</v>
      </c>
      <c r="Q59" s="45">
        <v>443001.9200000001</v>
      </c>
      <c r="R59" s="45">
        <v>1293779.4700000002</v>
      </c>
      <c r="S59" s="45">
        <v>2294705.9900000002</v>
      </c>
      <c r="T59" s="45">
        <v>442035.89</v>
      </c>
      <c r="U59" s="45">
        <v>40432.54</v>
      </c>
      <c r="V59" s="45">
        <v>945717.7699999999</v>
      </c>
      <c r="X59" s="45">
        <v>52929.279999999992</v>
      </c>
      <c r="Y59" s="45">
        <v>38573.670000000006</v>
      </c>
      <c r="Z59" s="45">
        <v>1210117.06</v>
      </c>
      <c r="AA59" s="45">
        <v>57736.94999999999</v>
      </c>
      <c r="AB59" s="45">
        <v>19630.43</v>
      </c>
      <c r="AC59" s="45">
        <v>13749.03</v>
      </c>
      <c r="AD59" s="45">
        <v>1469394.1600000001</v>
      </c>
      <c r="AE59" s="45">
        <v>269049.69999999995</v>
      </c>
      <c r="AH59" s="45">
        <v>19542.55</v>
      </c>
      <c r="AI59" s="45">
        <v>454461.16000000003</v>
      </c>
      <c r="AJ59" s="45">
        <v>724842.99999999977</v>
      </c>
      <c r="AK59" s="45">
        <v>148694.31</v>
      </c>
      <c r="AL59" s="45">
        <v>1369.13</v>
      </c>
      <c r="AN59" s="45">
        <v>499256.12999999995</v>
      </c>
      <c r="AO59" s="45">
        <v>6916.18</v>
      </c>
      <c r="AP59" s="45">
        <v>65630.63</v>
      </c>
      <c r="AQ59" s="45">
        <v>112728.88000000002</v>
      </c>
      <c r="AR59" s="45">
        <v>92772.87999999999</v>
      </c>
      <c r="AS59" s="45">
        <v>5373.5</v>
      </c>
      <c r="AT59" s="45">
        <v>4445.5</v>
      </c>
      <c r="AU59" s="45">
        <v>6941.9099999999989</v>
      </c>
      <c r="AV59" s="45">
        <v>4623.63</v>
      </c>
      <c r="AY59" s="45">
        <v>17454.2</v>
      </c>
      <c r="AZ59" s="45">
        <v>2785</v>
      </c>
      <c r="BA59" s="45">
        <v>67711.740000000005</v>
      </c>
      <c r="BC59" s="45">
        <v>13132.75</v>
      </c>
      <c r="BD59" s="45">
        <v>156091.96</v>
      </c>
      <c r="BE59" s="45">
        <v>882.27</v>
      </c>
      <c r="BF59" s="45">
        <v>1125376.29</v>
      </c>
      <c r="BG59" s="45">
        <v>183155.97</v>
      </c>
      <c r="BH59" s="45">
        <v>245000</v>
      </c>
      <c r="BJ59" s="45">
        <v>45454.54</v>
      </c>
      <c r="BK59" s="45">
        <v>6818.17</v>
      </c>
      <c r="BL59" s="2">
        <f t="shared" si="1"/>
        <v>17959733.660000004</v>
      </c>
      <c r="BN59" s="341">
        <v>6708.47</v>
      </c>
      <c r="BO59" s="341">
        <v>823536.22000000009</v>
      </c>
      <c r="BP59" s="341">
        <v>311.31</v>
      </c>
      <c r="BQ59" s="341"/>
      <c r="BR59" s="341">
        <v>345000</v>
      </c>
      <c r="BS59" s="341">
        <v>58300</v>
      </c>
      <c r="BT59" s="341">
        <v>15000</v>
      </c>
      <c r="BU59" s="341"/>
      <c r="BV59" s="341">
        <v>25000</v>
      </c>
      <c r="BW59" s="341"/>
      <c r="BX59" s="341"/>
      <c r="BY59" s="341">
        <v>78777.42</v>
      </c>
      <c r="BZ59" s="341"/>
      <c r="CA59" s="341"/>
      <c r="CB59" s="347"/>
      <c r="CC59" s="341"/>
      <c r="CD59" s="341"/>
      <c r="CE59" s="341">
        <v>131466.56</v>
      </c>
      <c r="CF59" s="341">
        <v>1076.5</v>
      </c>
      <c r="CG59" s="341"/>
      <c r="CH59" s="341">
        <v>953714.67</v>
      </c>
      <c r="CI59" s="341"/>
      <c r="CJ59" s="341"/>
      <c r="CK59" s="341"/>
      <c r="CL59" s="341"/>
      <c r="CM59" s="341">
        <v>9021.6</v>
      </c>
      <c r="CN59" s="341"/>
      <c r="CO59" s="341">
        <v>420000</v>
      </c>
      <c r="CP59" s="347">
        <v>18647</v>
      </c>
      <c r="CQ59" s="341"/>
      <c r="CR59" s="342">
        <f t="shared" si="2"/>
        <v>2886559.75</v>
      </c>
    </row>
    <row r="60" spans="1:96" x14ac:dyDescent="0.25">
      <c r="A60" s="45" t="s">
        <v>389</v>
      </c>
      <c r="B60" s="45">
        <v>-153797.49</v>
      </c>
      <c r="C60" s="45">
        <v>-10659.46</v>
      </c>
      <c r="D60" s="45">
        <v>801601</v>
      </c>
      <c r="E60" s="45">
        <v>113188.96</v>
      </c>
      <c r="G60" s="45">
        <v>2565.31</v>
      </c>
      <c r="I60" s="45">
        <v>378256.78999999992</v>
      </c>
      <c r="J60" s="45">
        <v>1212911.81</v>
      </c>
      <c r="K60" s="45">
        <v>421.08</v>
      </c>
      <c r="M60" s="45">
        <v>2251.17</v>
      </c>
      <c r="N60" s="45">
        <v>62269.59</v>
      </c>
      <c r="O60" s="45">
        <v>19106378</v>
      </c>
      <c r="P60" s="45">
        <v>165</v>
      </c>
      <c r="Q60" s="45">
        <v>1754503.0199999998</v>
      </c>
      <c r="R60" s="45">
        <v>5550705.3799999999</v>
      </c>
      <c r="S60" s="45">
        <v>10836194.329999998</v>
      </c>
      <c r="T60" s="45">
        <v>3213249.5199999996</v>
      </c>
      <c r="U60" s="45">
        <v>99507.56</v>
      </c>
      <c r="V60" s="45">
        <v>3252630.15</v>
      </c>
      <c r="W60" s="45">
        <v>27680.450000000004</v>
      </c>
      <c r="X60" s="45">
        <v>157896.30000000002</v>
      </c>
      <c r="Y60" s="45">
        <v>63509.900000000009</v>
      </c>
      <c r="Z60" s="45">
        <v>3039597.2300000004</v>
      </c>
      <c r="AA60" s="45">
        <v>168306.84</v>
      </c>
      <c r="AB60" s="45">
        <v>68500.23000000001</v>
      </c>
      <c r="AC60" s="45">
        <v>47081.05999999999</v>
      </c>
      <c r="AD60" s="45">
        <v>7759253.7200000016</v>
      </c>
      <c r="AE60" s="45">
        <v>1160074.29</v>
      </c>
      <c r="AG60" s="45">
        <v>10742</v>
      </c>
      <c r="AH60" s="45">
        <v>55868.45</v>
      </c>
      <c r="AI60" s="45">
        <v>1246653.3799999999</v>
      </c>
      <c r="AJ60" s="45">
        <v>4721388</v>
      </c>
      <c r="AK60" s="45">
        <v>968545.65999999992</v>
      </c>
      <c r="AN60" s="45">
        <v>1284496.1200000001</v>
      </c>
      <c r="AO60" s="45">
        <v>16302.43</v>
      </c>
      <c r="AP60" s="45">
        <v>240762.09</v>
      </c>
      <c r="AQ60" s="45">
        <v>536175.88000000012</v>
      </c>
      <c r="AR60" s="45">
        <v>491575.81000000011</v>
      </c>
      <c r="AS60" s="45">
        <v>38596.5</v>
      </c>
      <c r="AT60" s="45">
        <v>68775</v>
      </c>
      <c r="AU60" s="45">
        <v>36801.35</v>
      </c>
      <c r="AV60" s="45">
        <v>27090.1</v>
      </c>
      <c r="AX60" s="45">
        <v>102678.97</v>
      </c>
      <c r="AY60" s="45">
        <v>73370.66</v>
      </c>
      <c r="AZ60" s="45">
        <v>40832</v>
      </c>
      <c r="BA60" s="45">
        <v>1317166.8999999999</v>
      </c>
      <c r="BB60" s="45">
        <v>63102</v>
      </c>
      <c r="BC60" s="45">
        <v>121108.2</v>
      </c>
      <c r="BD60" s="45">
        <v>177240.84000000003</v>
      </c>
      <c r="BE60" s="45">
        <v>1764.54</v>
      </c>
      <c r="BF60" s="45">
        <v>2686031.38</v>
      </c>
      <c r="BG60" s="45">
        <v>702097.89</v>
      </c>
      <c r="BH60" s="45">
        <v>281400</v>
      </c>
      <c r="BI60" s="45">
        <v>284571</v>
      </c>
      <c r="BL60" s="2">
        <f t="shared" si="1"/>
        <v>74309378.889999986</v>
      </c>
      <c r="BN60" s="341">
        <v>14642.41</v>
      </c>
      <c r="BO60" s="341">
        <v>4960895.59</v>
      </c>
      <c r="BP60" s="341">
        <v>2753.6099999999997</v>
      </c>
      <c r="BQ60" s="341"/>
      <c r="BR60" s="341">
        <v>340000</v>
      </c>
      <c r="BS60" s="341">
        <v>373175</v>
      </c>
      <c r="BT60" s="341"/>
      <c r="BU60" s="341">
        <v>726.76</v>
      </c>
      <c r="BV60" s="341"/>
      <c r="BW60" s="341"/>
      <c r="BX60" s="341"/>
      <c r="BY60" s="341">
        <v>98890.81</v>
      </c>
      <c r="BZ60" s="341"/>
      <c r="CA60" s="341">
        <v>20000</v>
      </c>
      <c r="CB60" s="347"/>
      <c r="CC60" s="341"/>
      <c r="CD60" s="341"/>
      <c r="CE60" s="341">
        <v>2664280.9</v>
      </c>
      <c r="CF60" s="341">
        <v>1076.5</v>
      </c>
      <c r="CG60" s="341">
        <v>355562.55</v>
      </c>
      <c r="CH60" s="341"/>
      <c r="CI60" s="341">
        <v>205194.60000000003</v>
      </c>
      <c r="CJ60" s="341">
        <v>1409.93</v>
      </c>
      <c r="CK60" s="341"/>
      <c r="CL60" s="341"/>
      <c r="CM60" s="341"/>
      <c r="CN60" s="341"/>
      <c r="CO60" s="341"/>
      <c r="CP60" s="347">
        <v>76224</v>
      </c>
      <c r="CQ60" s="341"/>
      <c r="CR60" s="342">
        <f t="shared" si="2"/>
        <v>9114832.6600000001</v>
      </c>
    </row>
    <row r="61" spans="1:96" x14ac:dyDescent="0.25">
      <c r="A61" s="45" t="s">
        <v>59</v>
      </c>
      <c r="B61" s="45">
        <v>-70617.16</v>
      </c>
      <c r="C61" s="45">
        <v>-27490.62</v>
      </c>
      <c r="D61" s="45">
        <v>282918</v>
      </c>
      <c r="E61" s="45">
        <v>33413.18</v>
      </c>
      <c r="G61" s="45">
        <v>641.33000000000004</v>
      </c>
      <c r="I61" s="45">
        <v>145483.38</v>
      </c>
      <c r="J61" s="45">
        <v>613987.05000000005</v>
      </c>
      <c r="M61" s="45">
        <v>1285.22</v>
      </c>
      <c r="N61" s="45">
        <v>32646.19</v>
      </c>
      <c r="O61" s="45">
        <v>5408161</v>
      </c>
      <c r="Q61" s="45">
        <v>591251.73</v>
      </c>
      <c r="R61" s="45">
        <v>1675287.3099999998</v>
      </c>
      <c r="S61" s="45">
        <v>2825123.5500000003</v>
      </c>
      <c r="T61" s="45">
        <v>1778017.1</v>
      </c>
      <c r="U61" s="45">
        <v>91055.030000000013</v>
      </c>
      <c r="V61" s="45">
        <v>878374.0199999999</v>
      </c>
      <c r="W61" s="45">
        <v>5197.21</v>
      </c>
      <c r="X61" s="45">
        <v>44012.62</v>
      </c>
      <c r="Y61" s="45">
        <v>58373.79</v>
      </c>
      <c r="Z61" s="45">
        <v>1157336.0899999999</v>
      </c>
      <c r="AA61" s="45">
        <v>20925.689999999995</v>
      </c>
      <c r="AB61" s="45">
        <v>45002.350000000006</v>
      </c>
      <c r="AC61" s="45">
        <v>31853.1</v>
      </c>
      <c r="AD61" s="45">
        <v>366643.93999999994</v>
      </c>
      <c r="AE61" s="45">
        <v>303664.89</v>
      </c>
      <c r="AH61" s="45">
        <v>22736.49</v>
      </c>
      <c r="AI61" s="45">
        <v>672519.24</v>
      </c>
      <c r="AJ61" s="45">
        <v>998872.99999999977</v>
      </c>
      <c r="AK61" s="45">
        <v>204908.83</v>
      </c>
      <c r="AN61" s="45">
        <v>576385.60999999987</v>
      </c>
      <c r="AO61" s="45">
        <v>14573.38</v>
      </c>
      <c r="AP61" s="45">
        <v>126120.61000000002</v>
      </c>
      <c r="AQ61" s="45">
        <v>145075.78000000003</v>
      </c>
      <c r="AR61" s="45">
        <v>73194.190000000017</v>
      </c>
      <c r="AS61" s="45">
        <v>8599.5</v>
      </c>
      <c r="AT61" s="45">
        <v>12813.75</v>
      </c>
      <c r="AU61" s="45">
        <v>16603.2</v>
      </c>
      <c r="AV61" s="45">
        <v>6410.79</v>
      </c>
      <c r="AX61" s="45">
        <v>25000</v>
      </c>
      <c r="AY61" s="45">
        <v>26040.35</v>
      </c>
      <c r="AZ61" s="45">
        <v>3936</v>
      </c>
      <c r="BA61" s="45">
        <v>62251.909999999996</v>
      </c>
      <c r="BC61" s="45">
        <v>23366.400000000001</v>
      </c>
      <c r="BD61" s="45">
        <v>31307.739999999994</v>
      </c>
      <c r="BE61" s="45">
        <v>4117.26</v>
      </c>
      <c r="BF61" s="45">
        <v>1573102.88</v>
      </c>
      <c r="BG61" s="45">
        <v>281845.56999999995</v>
      </c>
      <c r="BH61" s="45">
        <v>142000</v>
      </c>
      <c r="BL61" s="2">
        <f t="shared" si="1"/>
        <v>21344328.469999995</v>
      </c>
      <c r="BN61" s="341">
        <v>3466.5</v>
      </c>
      <c r="BO61" s="341">
        <v>1191833.51</v>
      </c>
      <c r="BP61" s="341">
        <v>1045.26</v>
      </c>
      <c r="BQ61" s="341"/>
      <c r="BR61" s="341"/>
      <c r="BS61" s="341">
        <v>89650</v>
      </c>
      <c r="BT61" s="341"/>
      <c r="BU61" s="341"/>
      <c r="BV61" s="341"/>
      <c r="BW61" s="341"/>
      <c r="BX61" s="341">
        <v>33161</v>
      </c>
      <c r="BY61" s="341">
        <v>72072.960000000006</v>
      </c>
      <c r="BZ61" s="341"/>
      <c r="CA61" s="341"/>
      <c r="CB61" s="347"/>
      <c r="CC61" s="341"/>
      <c r="CD61" s="341"/>
      <c r="CE61" s="341">
        <v>9619.5</v>
      </c>
      <c r="CF61" s="341">
        <v>1076.5</v>
      </c>
      <c r="CG61" s="341"/>
      <c r="CH61" s="341">
        <v>587936.95999999985</v>
      </c>
      <c r="CI61" s="341">
        <v>164372.01</v>
      </c>
      <c r="CJ61" s="341">
        <v>1936.22</v>
      </c>
      <c r="CK61" s="341"/>
      <c r="CL61" s="341"/>
      <c r="CM61" s="341"/>
      <c r="CN61" s="341"/>
      <c r="CO61" s="341"/>
      <c r="CP61" s="347">
        <v>21656</v>
      </c>
      <c r="CQ61" s="341"/>
      <c r="CR61" s="342">
        <f t="shared" si="2"/>
        <v>2177826.4200000004</v>
      </c>
    </row>
    <row r="62" spans="1:96" x14ac:dyDescent="0.25">
      <c r="A62" s="45" t="s">
        <v>390</v>
      </c>
      <c r="B62" s="45">
        <v>-64884.740000000013</v>
      </c>
      <c r="C62" s="45">
        <v>-4036.84</v>
      </c>
      <c r="D62" s="45">
        <v>188612</v>
      </c>
      <c r="E62" s="45">
        <v>29677.489999999998</v>
      </c>
      <c r="G62" s="45">
        <v>641.33000000000004</v>
      </c>
      <c r="H62" s="45">
        <v>621.25</v>
      </c>
      <c r="I62" s="45">
        <v>203676.72999999998</v>
      </c>
      <c r="J62" s="45">
        <v>523647.99</v>
      </c>
      <c r="N62" s="45">
        <v>28414.28</v>
      </c>
      <c r="O62" s="45">
        <v>4843132.9999999991</v>
      </c>
      <c r="Q62" s="45">
        <v>500767.91</v>
      </c>
      <c r="R62" s="45">
        <v>1488402.4899999998</v>
      </c>
      <c r="S62" s="45">
        <v>2778623.5200000005</v>
      </c>
      <c r="T62" s="45">
        <v>738281.1</v>
      </c>
      <c r="U62" s="45">
        <v>58150.830000000009</v>
      </c>
      <c r="V62" s="45">
        <v>579427.11</v>
      </c>
      <c r="W62" s="45">
        <v>8312.35</v>
      </c>
      <c r="X62" s="45">
        <v>30792.86</v>
      </c>
      <c r="Y62" s="45">
        <v>81326.290000000023</v>
      </c>
      <c r="Z62" s="45">
        <v>998787.90000000014</v>
      </c>
      <c r="AA62" s="45">
        <v>10223.879999999999</v>
      </c>
      <c r="AB62" s="45">
        <v>13598.160000000002</v>
      </c>
      <c r="AC62" s="45">
        <v>23983.68</v>
      </c>
      <c r="AD62" s="45">
        <v>1134365.3999999999</v>
      </c>
      <c r="AE62" s="45">
        <v>154954.37000000002</v>
      </c>
      <c r="AH62" s="45">
        <v>21349.4</v>
      </c>
      <c r="AI62" s="45">
        <v>554791.66999999993</v>
      </c>
      <c r="AJ62" s="45">
        <v>900711.00000000012</v>
      </c>
      <c r="AK62" s="45">
        <v>184771.88000000003</v>
      </c>
      <c r="AN62" s="45">
        <v>502647</v>
      </c>
      <c r="AO62" s="45">
        <v>4446.12</v>
      </c>
      <c r="AP62" s="45">
        <v>78497.260000000009</v>
      </c>
      <c r="AQ62" s="45">
        <v>126848.65</v>
      </c>
      <c r="AR62" s="45">
        <v>77411.14</v>
      </c>
      <c r="AS62" s="45">
        <v>6821.75</v>
      </c>
      <c r="AT62" s="45">
        <v>10615</v>
      </c>
      <c r="AU62" s="45">
        <v>42693.780000000013</v>
      </c>
      <c r="AV62" s="45">
        <v>5483.82</v>
      </c>
      <c r="AY62" s="45">
        <v>23260.7</v>
      </c>
      <c r="AZ62" s="45">
        <v>6688</v>
      </c>
      <c r="BA62" s="45">
        <v>61585.719999999994</v>
      </c>
      <c r="BC62" s="45">
        <v>24619.5</v>
      </c>
      <c r="BD62" s="45">
        <v>6809.18</v>
      </c>
      <c r="BE62" s="45">
        <v>1176.3599999999999</v>
      </c>
      <c r="BF62" s="45">
        <v>1299967.9599999995</v>
      </c>
      <c r="BG62" s="45">
        <v>298268.34999999998</v>
      </c>
      <c r="BH62" s="45">
        <v>250000</v>
      </c>
      <c r="BI62" s="45">
        <v>123130.31000000001</v>
      </c>
      <c r="BL62" s="2">
        <f t="shared" si="1"/>
        <v>18962094.889999997</v>
      </c>
      <c r="BN62" s="341">
        <v>120.15</v>
      </c>
      <c r="BO62" s="341">
        <v>1037389.7100000001</v>
      </c>
      <c r="BP62" s="341">
        <v>1066.92</v>
      </c>
      <c r="BQ62" s="341"/>
      <c r="BR62" s="341"/>
      <c r="BS62" s="341">
        <v>75350</v>
      </c>
      <c r="BT62" s="341"/>
      <c r="BU62" s="341">
        <v>6854.2699999999995</v>
      </c>
      <c r="BV62" s="341"/>
      <c r="BW62" s="341"/>
      <c r="BX62" s="341">
        <v>33161</v>
      </c>
      <c r="BY62" s="341">
        <v>73749.08</v>
      </c>
      <c r="BZ62" s="341"/>
      <c r="CA62" s="341"/>
      <c r="CB62" s="347"/>
      <c r="CC62" s="341"/>
      <c r="CD62" s="341"/>
      <c r="CE62" s="341">
        <v>113548.39</v>
      </c>
      <c r="CF62" s="341">
        <v>1076.5</v>
      </c>
      <c r="CG62" s="341"/>
      <c r="CH62" s="341">
        <v>684584.58999999985</v>
      </c>
      <c r="CI62" s="341">
        <v>204227.19999999998</v>
      </c>
      <c r="CJ62" s="341">
        <v>6748.6900000000005</v>
      </c>
      <c r="CK62" s="341"/>
      <c r="CL62" s="341"/>
      <c r="CM62" s="341">
        <v>14434.56</v>
      </c>
      <c r="CN62" s="341"/>
      <c r="CO62" s="341">
        <v>360000</v>
      </c>
      <c r="CP62" s="347">
        <v>18768</v>
      </c>
      <c r="CQ62" s="341"/>
      <c r="CR62" s="342">
        <f t="shared" si="2"/>
        <v>2631079.06</v>
      </c>
    </row>
    <row r="63" spans="1:96" x14ac:dyDescent="0.25">
      <c r="A63" s="45" t="s">
        <v>391</v>
      </c>
      <c r="B63" s="45">
        <v>-3332.12</v>
      </c>
      <c r="D63" s="45">
        <v>94306</v>
      </c>
      <c r="E63" s="45">
        <v>5566.6200000000008</v>
      </c>
      <c r="F63" s="45">
        <v>2275.27</v>
      </c>
      <c r="G63" s="45">
        <v>663.44</v>
      </c>
      <c r="I63" s="45">
        <v>29096.68</v>
      </c>
      <c r="J63" s="45">
        <v>129535.61999999998</v>
      </c>
      <c r="N63" s="45">
        <v>7859.27</v>
      </c>
      <c r="O63" s="45">
        <v>478982.00000000006</v>
      </c>
      <c r="Q63" s="45">
        <v>41421.42</v>
      </c>
      <c r="R63" s="45">
        <v>124889.73999999999</v>
      </c>
      <c r="S63" s="45">
        <v>261517.46999999997</v>
      </c>
      <c r="T63" s="45">
        <v>84837.890000000014</v>
      </c>
      <c r="U63" s="45">
        <v>6599.82</v>
      </c>
      <c r="V63" s="45">
        <v>40569.480000000003</v>
      </c>
      <c r="W63" s="45">
        <v>280.38</v>
      </c>
      <c r="X63" s="45">
        <v>1450.86</v>
      </c>
      <c r="Y63" s="45">
        <v>7149.8099999999995</v>
      </c>
      <c r="Z63" s="45">
        <v>120371.23</v>
      </c>
      <c r="AC63" s="45">
        <v>2113.67</v>
      </c>
      <c r="AD63" s="45">
        <v>127521.03999999998</v>
      </c>
      <c r="AE63" s="45">
        <v>15410.360000000002</v>
      </c>
      <c r="AH63" s="45">
        <v>12122.99</v>
      </c>
      <c r="AI63" s="45">
        <v>106569.42000000001</v>
      </c>
      <c r="AJ63" s="45">
        <v>190219.99999999997</v>
      </c>
      <c r="AK63" s="45">
        <v>39021.740000000005</v>
      </c>
      <c r="AN63" s="45">
        <v>53866.180000000008</v>
      </c>
      <c r="AO63" s="45">
        <v>988.03</v>
      </c>
      <c r="AP63" s="45">
        <v>14979.53</v>
      </c>
      <c r="AQ63" s="45">
        <v>24439.009999999995</v>
      </c>
      <c r="AR63" s="45">
        <v>49999.999999999993</v>
      </c>
      <c r="AS63" s="45">
        <v>1426</v>
      </c>
      <c r="AT63" s="45">
        <v>2057</v>
      </c>
      <c r="AU63" s="45">
        <v>5898.8600000000006</v>
      </c>
      <c r="AV63" s="45">
        <v>1064.05</v>
      </c>
      <c r="AY63" s="45">
        <v>3990.65</v>
      </c>
      <c r="AZ63" s="45">
        <v>1447</v>
      </c>
      <c r="BA63" s="45">
        <v>5025.3499999999995</v>
      </c>
      <c r="BC63" s="45">
        <v>13759.3</v>
      </c>
      <c r="BD63" s="45">
        <v>700.95999999999981</v>
      </c>
      <c r="BF63" s="45">
        <v>120338.88000000002</v>
      </c>
      <c r="BG63" s="45">
        <v>61051.990000000005</v>
      </c>
      <c r="BH63" s="45">
        <v>104500</v>
      </c>
      <c r="BL63" s="2">
        <f t="shared" si="1"/>
        <v>2392552.8900000006</v>
      </c>
      <c r="BN63" s="341">
        <v>316.01</v>
      </c>
      <c r="BO63" s="341">
        <v>328285.72999999992</v>
      </c>
      <c r="BP63" s="341">
        <v>375.03000000000003</v>
      </c>
      <c r="BQ63" s="341"/>
      <c r="BR63" s="341">
        <v>200000</v>
      </c>
      <c r="BS63" s="341">
        <v>15950</v>
      </c>
      <c r="BT63" s="341"/>
      <c r="BU63" s="341"/>
      <c r="BV63" s="341">
        <v>10000</v>
      </c>
      <c r="BW63" s="341"/>
      <c r="BX63" s="341"/>
      <c r="BY63" s="341">
        <v>13408.92</v>
      </c>
      <c r="BZ63" s="341"/>
      <c r="CA63" s="341"/>
      <c r="CB63" s="347"/>
      <c r="CC63" s="341"/>
      <c r="CD63" s="341"/>
      <c r="CE63" s="341">
        <v>57717</v>
      </c>
      <c r="CF63" s="341">
        <v>1076.5</v>
      </c>
      <c r="CG63" s="341"/>
      <c r="CH63" s="341">
        <v>88930.51999999999</v>
      </c>
      <c r="CI63" s="341"/>
      <c r="CJ63" s="341"/>
      <c r="CK63" s="341"/>
      <c r="CL63" s="341"/>
      <c r="CM63" s="341"/>
      <c r="CN63" s="341"/>
      <c r="CO63" s="341"/>
      <c r="CP63" s="347">
        <v>1821</v>
      </c>
      <c r="CQ63" s="341"/>
      <c r="CR63" s="342">
        <f t="shared" si="2"/>
        <v>717880.71000000008</v>
      </c>
    </row>
    <row r="64" spans="1:96" x14ac:dyDescent="0.25">
      <c r="A64" s="45" t="s">
        <v>392</v>
      </c>
      <c r="B64" s="45">
        <v>-180690.37</v>
      </c>
      <c r="C64" s="45">
        <v>-6868.01</v>
      </c>
      <c r="D64" s="45">
        <v>188612</v>
      </c>
      <c r="E64" s="45">
        <v>43179.139999999992</v>
      </c>
      <c r="G64" s="45">
        <v>641.33000000000004</v>
      </c>
      <c r="I64" s="45">
        <v>232773.41</v>
      </c>
      <c r="J64" s="45">
        <v>593800.13000000012</v>
      </c>
      <c r="M64" s="45">
        <v>968.09</v>
      </c>
      <c r="N64" s="45">
        <v>35064.43</v>
      </c>
      <c r="O64" s="45">
        <v>6852258.9999999991</v>
      </c>
      <c r="P64" s="45">
        <v>478.1</v>
      </c>
      <c r="Q64" s="45">
        <v>836024.2</v>
      </c>
      <c r="R64" s="45">
        <v>2072419.9500000002</v>
      </c>
      <c r="S64" s="45">
        <v>3672098.0699999994</v>
      </c>
      <c r="T64" s="45">
        <v>1025779.6199999999</v>
      </c>
      <c r="U64" s="45">
        <v>30643.269999999997</v>
      </c>
      <c r="V64" s="45">
        <v>1129519.8500000001</v>
      </c>
      <c r="W64" s="45">
        <v>5276.2</v>
      </c>
      <c r="X64" s="45">
        <v>14839.05</v>
      </c>
      <c r="Y64" s="45">
        <v>74223.55</v>
      </c>
      <c r="Z64" s="45">
        <v>1343966.3999999997</v>
      </c>
      <c r="AA64" s="45">
        <v>26061.799999999996</v>
      </c>
      <c r="AB64" s="45">
        <v>19245.920000000002</v>
      </c>
      <c r="AC64" s="45">
        <v>11453.67</v>
      </c>
      <c r="AD64" s="45">
        <v>2141761.61</v>
      </c>
      <c r="AE64" s="45">
        <v>185342.95</v>
      </c>
      <c r="AH64" s="45">
        <v>26645.22</v>
      </c>
      <c r="AI64" s="45">
        <v>703664.19999999984</v>
      </c>
      <c r="AJ64" s="45">
        <v>1536149</v>
      </c>
      <c r="AK64" s="45">
        <v>315125.65000000002</v>
      </c>
      <c r="AN64" s="45">
        <v>567801.72</v>
      </c>
      <c r="AO64" s="45">
        <v>8398.2199999999993</v>
      </c>
      <c r="AP64" s="45">
        <v>83680.11</v>
      </c>
      <c r="AQ64" s="45">
        <v>195200.05000000002</v>
      </c>
      <c r="AR64" s="45">
        <v>134741.57</v>
      </c>
      <c r="AS64" s="45">
        <v>11626</v>
      </c>
      <c r="AT64" s="45">
        <v>21050</v>
      </c>
      <c r="AU64" s="45">
        <v>27000.62</v>
      </c>
      <c r="AV64" s="45">
        <v>8717.7999999999993</v>
      </c>
      <c r="AX64" s="45">
        <v>46199.37</v>
      </c>
      <c r="AY64" s="45">
        <v>32992.92</v>
      </c>
      <c r="AZ64" s="45">
        <v>10645</v>
      </c>
      <c r="BA64" s="45">
        <v>278812.43</v>
      </c>
      <c r="BC64" s="45">
        <v>32764.65</v>
      </c>
      <c r="BD64" s="45">
        <v>198674.26999999996</v>
      </c>
      <c r="BF64" s="45">
        <v>1534022.25</v>
      </c>
      <c r="BG64" s="45">
        <v>470671.6</v>
      </c>
      <c r="BH64" s="45">
        <v>134440</v>
      </c>
      <c r="BI64" s="45">
        <v>131078.97</v>
      </c>
      <c r="BL64" s="2">
        <f t="shared" si="1"/>
        <v>26858974.979999997</v>
      </c>
      <c r="BN64" s="341">
        <v>14335.099999999999</v>
      </c>
      <c r="BO64" s="341">
        <v>1593268.62</v>
      </c>
      <c r="BP64" s="341">
        <v>1305.1099999999999</v>
      </c>
      <c r="BQ64" s="341"/>
      <c r="BR64" s="341"/>
      <c r="BS64" s="341">
        <v>130900</v>
      </c>
      <c r="BT64" s="341"/>
      <c r="BU64" s="341">
        <v>3317.88</v>
      </c>
      <c r="BV64" s="341"/>
      <c r="BW64" s="341"/>
      <c r="BX64" s="341"/>
      <c r="BY64" s="341">
        <v>58664.04</v>
      </c>
      <c r="BZ64" s="341"/>
      <c r="CA64" s="341"/>
      <c r="CB64" s="347"/>
      <c r="CC64" s="341"/>
      <c r="CD64" s="341"/>
      <c r="CE64" s="341">
        <v>428067.75999999989</v>
      </c>
      <c r="CF64" s="341">
        <v>1076.5</v>
      </c>
      <c r="CG64" s="341"/>
      <c r="CH64" s="341">
        <v>668415.41</v>
      </c>
      <c r="CI64" s="341">
        <v>189912.83999999997</v>
      </c>
      <c r="CJ64" s="341">
        <v>3651.53</v>
      </c>
      <c r="CK64" s="341"/>
      <c r="CL64" s="341"/>
      <c r="CM64" s="341">
        <v>25536.68</v>
      </c>
      <c r="CN64" s="341"/>
      <c r="CO64" s="341"/>
      <c r="CP64" s="347">
        <v>27124</v>
      </c>
      <c r="CQ64" s="341"/>
      <c r="CR64" s="342">
        <f t="shared" si="2"/>
        <v>3145575.47</v>
      </c>
    </row>
    <row r="65" spans="1:96" x14ac:dyDescent="0.25">
      <c r="A65" s="45" t="s">
        <v>393</v>
      </c>
      <c r="B65" s="45">
        <v>-222369.74</v>
      </c>
      <c r="C65" s="45">
        <v>-26099.62</v>
      </c>
      <c r="D65" s="45">
        <v>424377.00000000006</v>
      </c>
      <c r="E65" s="45">
        <v>74504.570000000007</v>
      </c>
      <c r="G65" s="45">
        <v>1282.6500000000001</v>
      </c>
      <c r="I65" s="45">
        <v>290966.76</v>
      </c>
      <c r="J65" s="45">
        <v>1102524.3400000001</v>
      </c>
      <c r="M65" s="45">
        <v>2171.87</v>
      </c>
      <c r="N65" s="45">
        <v>55014.879999999997</v>
      </c>
      <c r="O65" s="45">
        <v>7566252.9999999991</v>
      </c>
      <c r="P65" s="45">
        <v>300</v>
      </c>
      <c r="Q65" s="45">
        <v>735993.00000000023</v>
      </c>
      <c r="R65" s="45">
        <v>2182833.37</v>
      </c>
      <c r="S65" s="45">
        <v>3722065.6300000008</v>
      </c>
      <c r="T65" s="45">
        <v>1993673.0600000003</v>
      </c>
      <c r="U65" s="45">
        <v>20658.480000000003</v>
      </c>
      <c r="V65" s="45">
        <v>1448187.2499999998</v>
      </c>
      <c r="W65" s="45">
        <v>19254.509999999995</v>
      </c>
      <c r="X65" s="45">
        <v>135777.07</v>
      </c>
      <c r="Y65" s="45">
        <v>65071.799999999988</v>
      </c>
      <c r="Z65" s="45">
        <v>1882807.3900000004</v>
      </c>
      <c r="AA65" s="45">
        <v>77240.56</v>
      </c>
      <c r="AB65" s="45">
        <v>23599.65</v>
      </c>
      <c r="AC65" s="45">
        <v>39352.28</v>
      </c>
      <c r="AD65" s="45">
        <v>1237400.3400000001</v>
      </c>
      <c r="AE65" s="45">
        <v>458536.0199999999</v>
      </c>
      <c r="AH65" s="45">
        <v>39164.629999999997</v>
      </c>
      <c r="AI65" s="45">
        <v>1106851.0999999999</v>
      </c>
      <c r="AJ65" s="45">
        <v>2754200</v>
      </c>
      <c r="AK65" s="45">
        <v>564996.65999999992</v>
      </c>
      <c r="AN65" s="45">
        <v>583713.73999999987</v>
      </c>
      <c r="AO65" s="45">
        <v>10621.28</v>
      </c>
      <c r="AP65" s="45">
        <v>144486.01999999999</v>
      </c>
      <c r="AQ65" s="45">
        <v>334026.92</v>
      </c>
      <c r="AR65" s="45">
        <v>316371.59999999998</v>
      </c>
      <c r="AS65" s="45">
        <v>20312</v>
      </c>
      <c r="AT65" s="45">
        <v>20939.75</v>
      </c>
      <c r="AU65" s="45">
        <v>17099.5</v>
      </c>
      <c r="AV65" s="45">
        <v>15061.21</v>
      </c>
      <c r="AX65" s="45">
        <v>58743.98</v>
      </c>
      <c r="AY65" s="45">
        <v>52440.95</v>
      </c>
      <c r="AZ65" s="45">
        <v>20586</v>
      </c>
      <c r="BA65" s="45">
        <v>309489.27</v>
      </c>
      <c r="BC65" s="45">
        <v>49890.35</v>
      </c>
      <c r="BD65" s="45">
        <v>100769.93999999997</v>
      </c>
      <c r="BE65" s="45">
        <v>294.08999999999997</v>
      </c>
      <c r="BF65" s="45">
        <v>1543511.11</v>
      </c>
      <c r="BG65" s="45">
        <v>558291.92000000004</v>
      </c>
      <c r="BH65" s="45">
        <v>60000</v>
      </c>
      <c r="BI65" s="45">
        <v>116541.00000000001</v>
      </c>
      <c r="BL65" s="2">
        <f t="shared" si="1"/>
        <v>32109779.140000008</v>
      </c>
      <c r="BN65" s="341">
        <v>28711.25</v>
      </c>
      <c r="BO65" s="341">
        <v>2770733.24</v>
      </c>
      <c r="BP65" s="341">
        <v>2060.9700000000003</v>
      </c>
      <c r="BQ65" s="341"/>
      <c r="BR65" s="341"/>
      <c r="BS65" s="341">
        <v>231825</v>
      </c>
      <c r="BT65" s="341"/>
      <c r="BU65" s="341">
        <v>5014.82</v>
      </c>
      <c r="BV65" s="341">
        <v>4942.5200000000004</v>
      </c>
      <c r="BW65" s="341"/>
      <c r="BX65" s="341"/>
      <c r="BY65" s="341">
        <v>80453.540000000008</v>
      </c>
      <c r="BZ65" s="341"/>
      <c r="CA65" s="341"/>
      <c r="CB65" s="347"/>
      <c r="CC65" s="341"/>
      <c r="CD65" s="341"/>
      <c r="CE65" s="341">
        <v>684587.78</v>
      </c>
      <c r="CF65" s="341">
        <v>1076.5</v>
      </c>
      <c r="CG65" s="341"/>
      <c r="CH65" s="341">
        <v>1586851.8499999999</v>
      </c>
      <c r="CI65" s="341">
        <v>327750.17000000004</v>
      </c>
      <c r="CJ65" s="341">
        <v>5321.36</v>
      </c>
      <c r="CK65" s="341"/>
      <c r="CL65" s="341"/>
      <c r="CM65" s="341"/>
      <c r="CN65" s="341"/>
      <c r="CO65" s="341"/>
      <c r="CP65" s="347">
        <v>29627</v>
      </c>
      <c r="CQ65" s="341"/>
      <c r="CR65" s="342">
        <f t="shared" si="2"/>
        <v>5758956</v>
      </c>
    </row>
    <row r="66" spans="1:96" x14ac:dyDescent="0.25">
      <c r="A66" s="45" t="s">
        <v>394</v>
      </c>
      <c r="B66" s="45">
        <v>-51184.710000000006</v>
      </c>
      <c r="C66" s="45">
        <v>-3763.38</v>
      </c>
      <c r="D66" s="45">
        <v>141459</v>
      </c>
      <c r="E66" s="45">
        <v>19015.120000000003</v>
      </c>
      <c r="G66" s="45">
        <v>641.33000000000004</v>
      </c>
      <c r="I66" s="45">
        <v>116386.69999999998</v>
      </c>
      <c r="J66" s="45">
        <v>472263.09999999992</v>
      </c>
      <c r="N66" s="45">
        <v>30227.96</v>
      </c>
      <c r="O66" s="45">
        <v>2966384.9999999995</v>
      </c>
      <c r="P66" s="45">
        <v>55</v>
      </c>
      <c r="Q66" s="45">
        <v>335340.57999999996</v>
      </c>
      <c r="R66" s="45">
        <v>880559.91999999981</v>
      </c>
      <c r="S66" s="45">
        <v>1525692.7999999998</v>
      </c>
      <c r="T66" s="45">
        <v>331052.86</v>
      </c>
      <c r="U66" s="45">
        <v>27815.26</v>
      </c>
      <c r="V66" s="45">
        <v>617267.80999999994</v>
      </c>
      <c r="W66" s="45">
        <v>2647.14</v>
      </c>
      <c r="X66" s="45">
        <v>23857.350000000002</v>
      </c>
      <c r="Y66" s="45">
        <v>31406.690000000006</v>
      </c>
      <c r="Z66" s="45">
        <v>492428.98</v>
      </c>
      <c r="AA66" s="45">
        <v>12716.589999999998</v>
      </c>
      <c r="AB66" s="45">
        <v>4709.17</v>
      </c>
      <c r="AC66" s="45">
        <v>3738.02</v>
      </c>
      <c r="AD66" s="45">
        <v>1014725.4699999997</v>
      </c>
      <c r="AE66" s="45">
        <v>65873.42</v>
      </c>
      <c r="AH66" s="45">
        <v>17404.78</v>
      </c>
      <c r="AI66" s="45">
        <v>384705.61999999994</v>
      </c>
      <c r="AJ66" s="45">
        <v>707499.99999999977</v>
      </c>
      <c r="AK66" s="45">
        <v>145136.57</v>
      </c>
      <c r="AL66" s="45">
        <v>1699.11</v>
      </c>
      <c r="AN66" s="45">
        <v>309742.48</v>
      </c>
      <c r="AO66" s="45">
        <v>5434.14</v>
      </c>
      <c r="AP66" s="45">
        <v>72603.340000000011</v>
      </c>
      <c r="AQ66" s="45">
        <v>86060.359999999986</v>
      </c>
      <c r="AR66" s="45">
        <v>85443.43</v>
      </c>
      <c r="AS66" s="45">
        <v>5002</v>
      </c>
      <c r="AT66" s="45">
        <v>8835</v>
      </c>
      <c r="AU66" s="45">
        <v>10774.290000000003</v>
      </c>
      <c r="AV66" s="45">
        <v>3730.41</v>
      </c>
      <c r="AY66" s="45">
        <v>15583.51</v>
      </c>
      <c r="AZ66" s="45">
        <v>4092.8</v>
      </c>
      <c r="BA66" s="45">
        <v>11833.68</v>
      </c>
      <c r="BC66" s="45">
        <v>13759.3</v>
      </c>
      <c r="BD66" s="45">
        <v>9766.4900000000016</v>
      </c>
      <c r="BE66" s="45">
        <v>1176.3599999999999</v>
      </c>
      <c r="BF66" s="45">
        <v>824636.23</v>
      </c>
      <c r="BG66" s="45">
        <v>242004.21000000002</v>
      </c>
      <c r="BH66" s="45">
        <v>146649</v>
      </c>
      <c r="BL66" s="2">
        <f t="shared" si="1"/>
        <v>12174890.289999997</v>
      </c>
      <c r="BN66" s="341"/>
      <c r="BO66" s="341">
        <v>779462.49000000011</v>
      </c>
      <c r="BP66" s="341">
        <v>1164.5300000000002</v>
      </c>
      <c r="BQ66" s="341"/>
      <c r="BR66" s="341">
        <v>90000</v>
      </c>
      <c r="BS66" s="341">
        <v>59400</v>
      </c>
      <c r="BT66" s="341"/>
      <c r="BU66" s="341"/>
      <c r="BV66" s="341">
        <v>2475</v>
      </c>
      <c r="BW66" s="341"/>
      <c r="BX66" s="341"/>
      <c r="BY66" s="341">
        <v>56987.92</v>
      </c>
      <c r="BZ66" s="341"/>
      <c r="CA66" s="341"/>
      <c r="CB66" s="347"/>
      <c r="CC66" s="341"/>
      <c r="CD66" s="341"/>
      <c r="CE66" s="341">
        <v>38478</v>
      </c>
      <c r="CF66" s="341">
        <v>1076.5</v>
      </c>
      <c r="CG66" s="341"/>
      <c r="CH66" s="341">
        <v>507993.03999999986</v>
      </c>
      <c r="CI66" s="341"/>
      <c r="CJ66" s="341"/>
      <c r="CK66" s="341"/>
      <c r="CL66" s="341"/>
      <c r="CM66" s="341">
        <v>10825.92</v>
      </c>
      <c r="CN66" s="341"/>
      <c r="CO66" s="341"/>
      <c r="CP66" s="347">
        <v>11668</v>
      </c>
      <c r="CQ66" s="341"/>
      <c r="CR66" s="342">
        <f t="shared" si="2"/>
        <v>1559531.4</v>
      </c>
    </row>
    <row r="67" spans="1:96" x14ac:dyDescent="0.25">
      <c r="A67" s="45" t="s">
        <v>395</v>
      </c>
      <c r="B67" s="45">
        <v>-88067.16</v>
      </c>
      <c r="C67" s="45">
        <v>-8333.84</v>
      </c>
      <c r="D67" s="45">
        <v>141459</v>
      </c>
      <c r="E67" s="45">
        <v>26083.380000000005</v>
      </c>
      <c r="G67" s="45">
        <v>641.33000000000004</v>
      </c>
      <c r="I67" s="45">
        <v>116386.69999999998</v>
      </c>
      <c r="J67" s="45">
        <v>445982.02</v>
      </c>
      <c r="N67" s="45">
        <v>35064.43</v>
      </c>
      <c r="O67" s="45">
        <v>4140917</v>
      </c>
      <c r="Q67" s="45">
        <v>444382.03</v>
      </c>
      <c r="R67" s="45">
        <v>1261723.6900000002</v>
      </c>
      <c r="S67" s="45">
        <v>2352817.42</v>
      </c>
      <c r="T67" s="45">
        <v>834874.04000000015</v>
      </c>
      <c r="U67" s="45">
        <v>84723.49</v>
      </c>
      <c r="V67" s="45">
        <v>701255.79999999981</v>
      </c>
      <c r="W67" s="45">
        <v>12008.210000000001</v>
      </c>
      <c r="X67" s="45">
        <v>7410.08</v>
      </c>
      <c r="Y67" s="45">
        <v>98612.260000000009</v>
      </c>
      <c r="Z67" s="45">
        <v>504599.37000000005</v>
      </c>
      <c r="AA67" s="45">
        <v>31460.329999999998</v>
      </c>
      <c r="AB67" s="45">
        <v>43292.229999999996</v>
      </c>
      <c r="AC67" s="45">
        <v>9992.7999999999993</v>
      </c>
      <c r="AD67" s="45">
        <v>1146930.71</v>
      </c>
      <c r="AE67" s="45">
        <v>116301.35000000002</v>
      </c>
      <c r="AH67" s="45">
        <v>20108.02</v>
      </c>
      <c r="AI67" s="45">
        <v>475302.93999999994</v>
      </c>
      <c r="AJ67" s="45">
        <v>847456.00000000012</v>
      </c>
      <c r="AK67" s="45">
        <v>173847.14999999997</v>
      </c>
      <c r="AN67" s="45">
        <v>418485.03999999992</v>
      </c>
      <c r="AO67" s="45">
        <v>2223.06</v>
      </c>
      <c r="AP67" s="45">
        <v>71880.499999999985</v>
      </c>
      <c r="AQ67" s="45">
        <v>116359.12000000001</v>
      </c>
      <c r="AR67" s="45">
        <v>50603.39</v>
      </c>
      <c r="AS67" s="45">
        <v>6615.75</v>
      </c>
      <c r="AT67" s="45">
        <v>8189.75</v>
      </c>
      <c r="AU67" s="45">
        <v>28854.959999999999</v>
      </c>
      <c r="AV67" s="45">
        <v>5220.1499999999996</v>
      </c>
      <c r="AY67" s="45">
        <v>48150</v>
      </c>
      <c r="AZ67" s="45">
        <v>6832</v>
      </c>
      <c r="BA67" s="45">
        <v>57533.609999999993</v>
      </c>
      <c r="BC67" s="45">
        <v>10626.55</v>
      </c>
      <c r="BD67" s="45">
        <v>39276.44</v>
      </c>
      <c r="BE67" s="45">
        <v>882.27</v>
      </c>
      <c r="BF67" s="45">
        <v>1052667.27</v>
      </c>
      <c r="BG67" s="45">
        <v>244207.96000000002</v>
      </c>
      <c r="BH67" s="45">
        <v>70000</v>
      </c>
      <c r="BL67" s="2">
        <f t="shared" si="1"/>
        <v>16215838.600000003</v>
      </c>
      <c r="BN67" s="341">
        <v>6229.86</v>
      </c>
      <c r="BO67" s="341">
        <v>1019139.6400000001</v>
      </c>
      <c r="BP67" s="341">
        <v>731.27</v>
      </c>
      <c r="BQ67" s="341"/>
      <c r="BR67" s="341"/>
      <c r="BS67" s="341">
        <v>70400</v>
      </c>
      <c r="BT67" s="341"/>
      <c r="BU67" s="341"/>
      <c r="BV67" s="341"/>
      <c r="BW67" s="341"/>
      <c r="BX67" s="341"/>
      <c r="BY67" s="341">
        <v>48607.35</v>
      </c>
      <c r="BZ67" s="341"/>
      <c r="CA67" s="341"/>
      <c r="CB67" s="347"/>
      <c r="CC67" s="341"/>
      <c r="CD67" s="341"/>
      <c r="CE67" s="341">
        <v>91385.26</v>
      </c>
      <c r="CF67" s="341">
        <v>1076.5</v>
      </c>
      <c r="CG67" s="341"/>
      <c r="CH67" s="341">
        <v>445320.74</v>
      </c>
      <c r="CI67" s="341"/>
      <c r="CJ67" s="341"/>
      <c r="CK67" s="341"/>
      <c r="CL67" s="341"/>
      <c r="CM67" s="341"/>
      <c r="CN67" s="341"/>
      <c r="CO67" s="341"/>
      <c r="CP67" s="347">
        <v>16507</v>
      </c>
      <c r="CQ67" s="341"/>
      <c r="CR67" s="342">
        <f t="shared" si="2"/>
        <v>1699397.62</v>
      </c>
    </row>
    <row r="68" spans="1:96" x14ac:dyDescent="0.25">
      <c r="A68" s="45" t="s">
        <v>396</v>
      </c>
      <c r="B68" s="45">
        <v>-88556.61</v>
      </c>
      <c r="C68" s="45">
        <v>-9877.42</v>
      </c>
      <c r="D68" s="45">
        <v>330071</v>
      </c>
      <c r="E68" s="45">
        <v>49353.97</v>
      </c>
      <c r="G68" s="45">
        <v>1923.98</v>
      </c>
      <c r="I68" s="45">
        <v>203676.72999999998</v>
      </c>
      <c r="J68" s="45">
        <v>665268.05000000005</v>
      </c>
      <c r="M68" s="45">
        <v>1819.37</v>
      </c>
      <c r="N68" s="45">
        <v>38087.22</v>
      </c>
      <c r="O68" s="45">
        <v>6978913</v>
      </c>
      <c r="P68" s="45">
        <v>110</v>
      </c>
      <c r="Q68" s="45">
        <v>712793.35999999987</v>
      </c>
      <c r="R68" s="45">
        <v>2441558.27</v>
      </c>
      <c r="S68" s="45">
        <v>3769904.9199999995</v>
      </c>
      <c r="T68" s="45">
        <v>1289312.1199999999</v>
      </c>
      <c r="U68" s="45">
        <v>52499.09</v>
      </c>
      <c r="V68" s="45">
        <v>949947.50999999989</v>
      </c>
      <c r="W68" s="45">
        <v>20161.52</v>
      </c>
      <c r="X68" s="45">
        <v>53488.28</v>
      </c>
      <c r="Y68" s="45">
        <v>187892.42</v>
      </c>
      <c r="Z68" s="45">
        <v>759824.91999999993</v>
      </c>
      <c r="AA68" s="45">
        <v>78631.73000000001</v>
      </c>
      <c r="AB68" s="45">
        <v>29531.86</v>
      </c>
      <c r="AC68" s="45">
        <v>20287.419999999998</v>
      </c>
      <c r="AD68" s="45">
        <v>1881579.55</v>
      </c>
      <c r="AE68" s="45">
        <v>356882.28</v>
      </c>
      <c r="AH68" s="45">
        <v>28410.29</v>
      </c>
      <c r="AI68" s="45">
        <v>907206.15000000014</v>
      </c>
      <c r="AJ68" s="45">
        <v>1541777.9999999995</v>
      </c>
      <c r="AK68" s="45">
        <v>316280.36999999994</v>
      </c>
      <c r="AN68" s="45">
        <v>727847.06</v>
      </c>
      <c r="AO68" s="45">
        <v>10621.28</v>
      </c>
      <c r="AP68" s="45">
        <v>229633.28000000003</v>
      </c>
      <c r="AQ68" s="45">
        <v>208655.42</v>
      </c>
      <c r="AR68" s="45">
        <v>229421.14999999997</v>
      </c>
      <c r="AS68" s="45">
        <v>10695</v>
      </c>
      <c r="AT68" s="45">
        <v>16610</v>
      </c>
      <c r="AU68" s="45">
        <v>32391.519999999997</v>
      </c>
      <c r="AV68" s="45">
        <v>8810.31</v>
      </c>
      <c r="AY68" s="45">
        <v>37518.980000000003</v>
      </c>
      <c r="AZ68" s="45">
        <v>10920</v>
      </c>
      <c r="BA68" s="45">
        <v>102480.22999999998</v>
      </c>
      <c r="BC68" s="45">
        <v>69497.45</v>
      </c>
      <c r="BD68" s="45">
        <v>50520.700000000012</v>
      </c>
      <c r="BF68" s="45">
        <v>1935020.3099999998</v>
      </c>
      <c r="BG68" s="45">
        <v>488415.92000000004</v>
      </c>
      <c r="BH68" s="45">
        <v>312470</v>
      </c>
      <c r="BL68" s="2">
        <f t="shared" si="1"/>
        <v>28050287.960000005</v>
      </c>
      <c r="BN68" s="341">
        <v>2283.87</v>
      </c>
      <c r="BO68" s="341">
        <v>2085935.97</v>
      </c>
      <c r="BP68" s="341">
        <v>2555.3199999999997</v>
      </c>
      <c r="BQ68" s="341"/>
      <c r="BR68" s="341">
        <v>340000</v>
      </c>
      <c r="BS68" s="341">
        <v>123475</v>
      </c>
      <c r="BT68" s="341"/>
      <c r="BU68" s="341"/>
      <c r="BV68" s="341"/>
      <c r="BW68" s="341"/>
      <c r="BX68" s="341">
        <v>33161</v>
      </c>
      <c r="BY68" s="341">
        <v>97214.69</v>
      </c>
      <c r="BZ68" s="341"/>
      <c r="CA68" s="341"/>
      <c r="CB68" s="347"/>
      <c r="CC68" s="341"/>
      <c r="CD68" s="341"/>
      <c r="CE68" s="341">
        <v>160325.00000000003</v>
      </c>
      <c r="CF68" s="341">
        <v>1076.5</v>
      </c>
      <c r="CG68" s="341"/>
      <c r="CH68" s="341">
        <v>859138.29999999993</v>
      </c>
      <c r="CI68" s="341"/>
      <c r="CJ68" s="341"/>
      <c r="CK68" s="341"/>
      <c r="CL68" s="341"/>
      <c r="CM68" s="341">
        <v>15036</v>
      </c>
      <c r="CN68" s="341"/>
      <c r="CO68" s="341">
        <v>400000</v>
      </c>
      <c r="CP68" s="347">
        <v>27584</v>
      </c>
      <c r="CQ68" s="341"/>
      <c r="CR68" s="342">
        <f t="shared" si="2"/>
        <v>4147785.65</v>
      </c>
    </row>
    <row r="69" spans="1:96" x14ac:dyDescent="0.25">
      <c r="A69" s="45" t="s">
        <v>397</v>
      </c>
      <c r="B69" s="45">
        <v>-222179.75999999995</v>
      </c>
      <c r="C69" s="45">
        <v>-36978.949999999997</v>
      </c>
      <c r="D69" s="45">
        <v>707295</v>
      </c>
      <c r="E69" s="45">
        <v>114839.25</v>
      </c>
      <c r="F69" s="45">
        <v>1723.08</v>
      </c>
      <c r="G69" s="45">
        <v>2565.31</v>
      </c>
      <c r="I69" s="45">
        <v>407353.46</v>
      </c>
      <c r="J69" s="45">
        <v>1123542.28</v>
      </c>
      <c r="L69" s="45">
        <v>552</v>
      </c>
      <c r="M69" s="45">
        <v>2976.9</v>
      </c>
      <c r="N69" s="45">
        <v>61665.03</v>
      </c>
      <c r="O69" s="45">
        <v>16645107</v>
      </c>
      <c r="P69" s="45">
        <v>422.5</v>
      </c>
      <c r="Q69" s="45">
        <v>1825739.55</v>
      </c>
      <c r="R69" s="45">
        <v>5230440.0099999988</v>
      </c>
      <c r="S69" s="45">
        <v>9381638.0100000016</v>
      </c>
      <c r="T69" s="45">
        <v>3143626.18</v>
      </c>
      <c r="U69" s="45">
        <v>89264.82</v>
      </c>
      <c r="V69" s="45">
        <v>1817553.16</v>
      </c>
      <c r="W69" s="45">
        <v>47721.94000000001</v>
      </c>
      <c r="X69" s="45">
        <v>125204.64</v>
      </c>
      <c r="Y69" s="45">
        <v>109739.51999999999</v>
      </c>
      <c r="Z69" s="45">
        <v>3492341.96</v>
      </c>
      <c r="AA69" s="45">
        <v>83714.12999999999</v>
      </c>
      <c r="AB69" s="45">
        <v>81060.97000000003</v>
      </c>
      <c r="AC69" s="45">
        <v>88636.44</v>
      </c>
      <c r="AD69" s="45">
        <v>5325726.8000000007</v>
      </c>
      <c r="AE69" s="45">
        <v>679522.75</v>
      </c>
      <c r="AF69" s="45">
        <v>95813.98</v>
      </c>
      <c r="AG69" s="45">
        <v>4000</v>
      </c>
      <c r="AH69" s="45">
        <v>55001.36</v>
      </c>
      <c r="AI69" s="45">
        <v>1634822.2999999998</v>
      </c>
      <c r="AJ69" s="45">
        <v>3508355</v>
      </c>
      <c r="AK69" s="45">
        <v>719704.03999999992</v>
      </c>
      <c r="AN69" s="45">
        <v>1299733.4400000002</v>
      </c>
      <c r="AO69" s="45">
        <v>16549.439999999999</v>
      </c>
      <c r="AP69" s="45">
        <v>226068.93000000002</v>
      </c>
      <c r="AQ69" s="45">
        <v>507081.14999999991</v>
      </c>
      <c r="AR69" s="45">
        <v>485652</v>
      </c>
      <c r="AS69" s="45">
        <v>33035.75</v>
      </c>
      <c r="AT69" s="45">
        <v>42980.25</v>
      </c>
      <c r="AU69" s="45">
        <v>50951.11</v>
      </c>
      <c r="AV69" s="45">
        <v>23881.38</v>
      </c>
      <c r="AX69" s="45">
        <v>199301.01</v>
      </c>
      <c r="AY69" s="45">
        <v>78309.61</v>
      </c>
      <c r="AZ69" s="45">
        <v>2800</v>
      </c>
      <c r="BA69" s="45">
        <v>846078.26</v>
      </c>
      <c r="BC69" s="45">
        <v>91869.2</v>
      </c>
      <c r="BD69" s="45">
        <v>187100.02999999997</v>
      </c>
      <c r="BE69" s="45">
        <v>294.08999999999997</v>
      </c>
      <c r="BF69" s="45">
        <v>3253016.6000000006</v>
      </c>
      <c r="BG69" s="45">
        <v>824201.87000000011</v>
      </c>
      <c r="BH69" s="45">
        <v>161460</v>
      </c>
      <c r="BJ69" s="45">
        <v>45454.54</v>
      </c>
      <c r="BK69" s="45">
        <v>6818.18</v>
      </c>
      <c r="BL69" s="2">
        <f t="shared" si="1"/>
        <v>64731147.499999993</v>
      </c>
      <c r="BN69" s="341">
        <v>23683.47</v>
      </c>
      <c r="BO69" s="341">
        <v>3505341.11</v>
      </c>
      <c r="BP69" s="341">
        <v>2355.9499999999998</v>
      </c>
      <c r="BQ69" s="341"/>
      <c r="BR69" s="341"/>
      <c r="BS69" s="341">
        <v>296725</v>
      </c>
      <c r="BT69" s="341">
        <v>50000</v>
      </c>
      <c r="BU69" s="341">
        <v>3754.8500000000004</v>
      </c>
      <c r="BV69" s="341">
        <v>5000</v>
      </c>
      <c r="BW69" s="341"/>
      <c r="BX69" s="341"/>
      <c r="BY69" s="341">
        <v>93862.459999999992</v>
      </c>
      <c r="BZ69" s="341"/>
      <c r="CA69" s="341"/>
      <c r="CB69" s="347"/>
      <c r="CC69" s="341"/>
      <c r="CD69" s="341"/>
      <c r="CE69" s="341">
        <v>935622.63</v>
      </c>
      <c r="CF69" s="341">
        <v>1076.5</v>
      </c>
      <c r="CG69" s="341">
        <v>584373.62999999989</v>
      </c>
      <c r="CH69" s="341"/>
      <c r="CI69" s="341">
        <v>466553.74000000005</v>
      </c>
      <c r="CJ69" s="341">
        <v>8776.7799999999988</v>
      </c>
      <c r="CK69" s="341"/>
      <c r="CL69" s="341"/>
      <c r="CM69" s="341"/>
      <c r="CN69" s="341"/>
      <c r="CO69" s="341"/>
      <c r="CP69" s="347">
        <v>66332</v>
      </c>
      <c r="CQ69" s="341"/>
      <c r="CR69" s="342">
        <f t="shared" si="2"/>
        <v>6043458.120000001</v>
      </c>
    </row>
    <row r="70" spans="1:96" x14ac:dyDescent="0.25">
      <c r="A70" s="45" t="s">
        <v>398</v>
      </c>
      <c r="B70" s="45">
        <v>-142396.84999999998</v>
      </c>
      <c r="C70" s="45">
        <v>-30755.3</v>
      </c>
      <c r="D70" s="45">
        <v>990213</v>
      </c>
      <c r="E70" s="45">
        <v>181097.06999999998</v>
      </c>
      <c r="G70" s="45">
        <v>5771.94</v>
      </c>
      <c r="I70" s="45">
        <v>843803.60000000009</v>
      </c>
      <c r="J70" s="45">
        <v>1582778.8300000003</v>
      </c>
      <c r="M70" s="45">
        <v>5889.84</v>
      </c>
      <c r="N70" s="45">
        <v>98543.14</v>
      </c>
      <c r="O70" s="45">
        <v>23395738</v>
      </c>
      <c r="P70" s="45">
        <v>165</v>
      </c>
      <c r="Q70" s="45">
        <v>2753618.9099999997</v>
      </c>
      <c r="R70" s="45">
        <v>7871152.5299999993</v>
      </c>
      <c r="S70" s="45">
        <v>12675853.909999998</v>
      </c>
      <c r="T70" s="45">
        <v>3243851.73</v>
      </c>
      <c r="U70" s="45">
        <v>257584.12999999998</v>
      </c>
      <c r="V70" s="45">
        <v>2984808.5300000003</v>
      </c>
      <c r="W70" s="45">
        <v>20968.060000000001</v>
      </c>
      <c r="X70" s="45">
        <v>280388.32</v>
      </c>
      <c r="Y70" s="45">
        <v>207582.11999999997</v>
      </c>
      <c r="Z70" s="45">
        <v>4340469.6000000006</v>
      </c>
      <c r="AA70" s="45">
        <v>175105.39999999997</v>
      </c>
      <c r="AB70" s="45">
        <v>77101.459999999992</v>
      </c>
      <c r="AC70" s="45">
        <v>116824.37000000001</v>
      </c>
      <c r="AD70" s="45">
        <v>6687793.4800000014</v>
      </c>
      <c r="AE70" s="45">
        <v>1378793.14</v>
      </c>
      <c r="AG70" s="45">
        <v>50600</v>
      </c>
      <c r="AH70" s="45">
        <v>78735.09</v>
      </c>
      <c r="AI70" s="45">
        <v>2944001.02</v>
      </c>
      <c r="AJ70" s="45">
        <v>6683908</v>
      </c>
      <c r="AK70" s="45">
        <v>1371137.0599999998</v>
      </c>
      <c r="AN70" s="45">
        <v>2144135.39</v>
      </c>
      <c r="AO70" s="45">
        <v>47178.239999999998</v>
      </c>
      <c r="AP70" s="45">
        <v>469948.27999999997</v>
      </c>
      <c r="AQ70" s="45">
        <v>767638.92</v>
      </c>
      <c r="AR70" s="45">
        <v>478021.32999999996</v>
      </c>
      <c r="AS70" s="45">
        <v>40892.75</v>
      </c>
      <c r="AT70" s="45">
        <v>69005</v>
      </c>
      <c r="AU70" s="45">
        <v>45526.419999999991</v>
      </c>
      <c r="AV70" s="45">
        <v>32205.49</v>
      </c>
      <c r="AX70" s="45">
        <v>64625.93</v>
      </c>
      <c r="AY70" s="45">
        <v>67855</v>
      </c>
      <c r="AZ70" s="45">
        <v>38375</v>
      </c>
      <c r="BA70" s="45">
        <v>944070.74</v>
      </c>
      <c r="BB70" s="45">
        <v>96390</v>
      </c>
      <c r="BC70" s="45">
        <v>105021.75</v>
      </c>
      <c r="BD70" s="45">
        <v>259813.71999999997</v>
      </c>
      <c r="BE70" s="45">
        <v>5881.79</v>
      </c>
      <c r="BF70" s="45">
        <v>5622078.5000000009</v>
      </c>
      <c r="BG70" s="45">
        <v>1770507.71</v>
      </c>
      <c r="BH70" s="45">
        <v>238866</v>
      </c>
      <c r="BL70" s="2">
        <f t="shared" si="1"/>
        <v>94439163.089999989</v>
      </c>
      <c r="BN70" s="341">
        <v>43657.54</v>
      </c>
      <c r="BO70" s="341">
        <v>8420800.3000000026</v>
      </c>
      <c r="BP70" s="341">
        <v>5640.7199999999993</v>
      </c>
      <c r="BQ70" s="341"/>
      <c r="BR70" s="341">
        <v>935000</v>
      </c>
      <c r="BS70" s="341">
        <v>563475</v>
      </c>
      <c r="BT70" s="341"/>
      <c r="BU70" s="341">
        <v>8979.85</v>
      </c>
      <c r="BV70" s="341"/>
      <c r="BW70" s="341"/>
      <c r="BX70" s="341">
        <v>33161</v>
      </c>
      <c r="BY70" s="341">
        <v>355336.45999999996</v>
      </c>
      <c r="BZ70" s="341"/>
      <c r="CA70" s="341"/>
      <c r="CB70" s="347"/>
      <c r="CC70" s="341"/>
      <c r="CD70" s="341"/>
      <c r="CE70" s="341">
        <v>2021698.2600000002</v>
      </c>
      <c r="CF70" s="341">
        <v>1076.5</v>
      </c>
      <c r="CG70" s="341"/>
      <c r="CH70" s="341">
        <v>1858788.15</v>
      </c>
      <c r="CI70" s="341">
        <v>704624.04999999993</v>
      </c>
      <c r="CJ70" s="341">
        <v>6380.44</v>
      </c>
      <c r="CK70" s="341"/>
      <c r="CL70" s="341"/>
      <c r="CM70" s="341">
        <v>67034.51999999999</v>
      </c>
      <c r="CN70" s="341"/>
      <c r="CO70" s="341">
        <v>1000000</v>
      </c>
      <c r="CP70" s="347">
        <v>92981</v>
      </c>
      <c r="CQ70" s="341"/>
      <c r="CR70" s="342">
        <f t="shared" si="2"/>
        <v>16118633.790000001</v>
      </c>
    </row>
    <row r="71" spans="1:96" x14ac:dyDescent="0.25">
      <c r="A71" s="45" t="s">
        <v>399</v>
      </c>
      <c r="B71" s="45">
        <v>-150570.4</v>
      </c>
      <c r="C71" s="45">
        <v>-30680.959999999999</v>
      </c>
      <c r="D71" s="45">
        <v>1273131</v>
      </c>
      <c r="E71" s="45">
        <v>191660.66000000003</v>
      </c>
      <c r="F71" s="45">
        <v>13086.32</v>
      </c>
      <c r="G71" s="45">
        <v>4489.29</v>
      </c>
      <c r="I71" s="45">
        <v>581933.52</v>
      </c>
      <c r="J71" s="45">
        <v>1369627.32</v>
      </c>
      <c r="L71" s="45">
        <v>768</v>
      </c>
      <c r="M71" s="45">
        <v>4676.83</v>
      </c>
      <c r="N71" s="45">
        <v>69524.3</v>
      </c>
      <c r="O71" s="45">
        <v>34869020</v>
      </c>
      <c r="P71" s="45">
        <v>750</v>
      </c>
      <c r="Q71" s="45">
        <v>3500930.9099999997</v>
      </c>
      <c r="R71" s="45">
        <v>10974816.170000002</v>
      </c>
      <c r="S71" s="45">
        <v>20071443.630000003</v>
      </c>
      <c r="T71" s="45">
        <v>6443904.0800000001</v>
      </c>
      <c r="U71" s="45">
        <v>283013.88</v>
      </c>
      <c r="V71" s="45">
        <v>3133296.459999999</v>
      </c>
      <c r="W71" s="45">
        <v>22750.379999999997</v>
      </c>
      <c r="X71" s="45">
        <v>528597.03</v>
      </c>
      <c r="Y71" s="45">
        <v>221435.62999999998</v>
      </c>
      <c r="Z71" s="45">
        <v>6510111.6499999994</v>
      </c>
      <c r="AA71" s="45">
        <v>288852.66000000003</v>
      </c>
      <c r="AB71" s="45">
        <v>164632.67000000004</v>
      </c>
      <c r="AC71" s="45">
        <v>62996.240000000005</v>
      </c>
      <c r="AD71" s="45">
        <v>11848338.970000001</v>
      </c>
      <c r="AE71" s="45">
        <v>3094426.89</v>
      </c>
      <c r="AG71" s="45">
        <v>50300.000000000007</v>
      </c>
      <c r="AH71" s="45">
        <v>87093.22</v>
      </c>
      <c r="AI71" s="45">
        <v>2608271.12</v>
      </c>
      <c r="AJ71" s="45">
        <v>6882163</v>
      </c>
      <c r="AK71" s="45">
        <v>1411807.1</v>
      </c>
      <c r="AL71" s="45">
        <v>19072.39</v>
      </c>
      <c r="AN71" s="45">
        <v>2827344.5300000003</v>
      </c>
      <c r="AO71" s="45">
        <v>30628.81</v>
      </c>
      <c r="AP71" s="45">
        <v>392189.22000000003</v>
      </c>
      <c r="AQ71" s="45">
        <v>880257.88999999978</v>
      </c>
      <c r="AR71" s="45">
        <v>642181.1399999999</v>
      </c>
      <c r="AS71" s="45">
        <v>59448.5</v>
      </c>
      <c r="AT71" s="45">
        <v>60413.75</v>
      </c>
      <c r="AU71" s="45">
        <v>64351.670000000006</v>
      </c>
      <c r="AV71" s="45">
        <v>42789.98</v>
      </c>
      <c r="AX71" s="45">
        <v>98269.9</v>
      </c>
      <c r="AY71" s="45">
        <v>122249.74</v>
      </c>
      <c r="AZ71" s="45">
        <v>59844</v>
      </c>
      <c r="BA71" s="45">
        <v>1278671.3900000004</v>
      </c>
      <c r="BB71" s="45">
        <v>95438</v>
      </c>
      <c r="BC71" s="45">
        <v>74116.95</v>
      </c>
      <c r="BD71" s="45">
        <v>563358.60000000009</v>
      </c>
      <c r="BE71" s="45">
        <v>5293.61</v>
      </c>
      <c r="BF71" s="45">
        <v>6272410.8500000015</v>
      </c>
      <c r="BG71" s="45">
        <v>1060419.52</v>
      </c>
      <c r="BH71" s="45">
        <v>127400</v>
      </c>
      <c r="BI71" s="45">
        <v>253991.18</v>
      </c>
      <c r="BL71" s="2">
        <f t="shared" si="1"/>
        <v>131416739.18999998</v>
      </c>
      <c r="BN71" s="341">
        <v>1217.8399999999999</v>
      </c>
      <c r="BO71" s="341">
        <v>7226048.3600000003</v>
      </c>
      <c r="BP71" s="341">
        <v>5264.79</v>
      </c>
      <c r="BQ71" s="341"/>
      <c r="BR71" s="341">
        <v>440000</v>
      </c>
      <c r="BS71" s="341">
        <v>558250</v>
      </c>
      <c r="BT71" s="341">
        <v>40000</v>
      </c>
      <c r="BU71" s="341"/>
      <c r="BV71" s="341"/>
      <c r="BW71" s="341"/>
      <c r="BX71" s="341"/>
      <c r="BY71" s="341">
        <v>231303.91999999998</v>
      </c>
      <c r="BZ71" s="341"/>
      <c r="CA71" s="341"/>
      <c r="CB71" s="347"/>
      <c r="CC71" s="341"/>
      <c r="CD71" s="341"/>
      <c r="CE71" s="341">
        <v>3594166</v>
      </c>
      <c r="CF71" s="341">
        <v>10765</v>
      </c>
      <c r="CG71" s="341">
        <v>793431.23999999987</v>
      </c>
      <c r="CH71" s="341"/>
      <c r="CI71" s="341">
        <v>373175.65</v>
      </c>
      <c r="CJ71" s="341">
        <v>60997.24</v>
      </c>
      <c r="CK71" s="341"/>
      <c r="CL71" s="341"/>
      <c r="CM71" s="341"/>
      <c r="CN71" s="341"/>
      <c r="CO71" s="341"/>
      <c r="CP71" s="347">
        <v>139514</v>
      </c>
      <c r="CQ71" s="341"/>
      <c r="CR71" s="342">
        <f t="shared" ref="CR71:CR86" si="3">SUM(BN71:CP71)</f>
        <v>13474134.040000001</v>
      </c>
    </row>
    <row r="72" spans="1:96" x14ac:dyDescent="0.25">
      <c r="A72" s="45" t="s">
        <v>400</v>
      </c>
      <c r="B72" s="45">
        <v>-41045.72</v>
      </c>
      <c r="C72" s="45">
        <v>-7771.86</v>
      </c>
      <c r="D72" s="45">
        <v>141459</v>
      </c>
      <c r="E72" s="45">
        <v>17849.490000000002</v>
      </c>
      <c r="G72" s="45">
        <v>663.44</v>
      </c>
      <c r="I72" s="45">
        <v>87290.03</v>
      </c>
      <c r="J72" s="45">
        <v>260525.52000000005</v>
      </c>
      <c r="N72" s="45">
        <v>12091.18</v>
      </c>
      <c r="O72" s="45">
        <v>2946288</v>
      </c>
      <c r="Q72" s="45">
        <v>339393.82999999996</v>
      </c>
      <c r="R72" s="45">
        <v>939839.87000000011</v>
      </c>
      <c r="S72" s="45">
        <v>1413142.0799999998</v>
      </c>
      <c r="T72" s="45">
        <v>575637.19000000006</v>
      </c>
      <c r="U72" s="45">
        <v>40748.83</v>
      </c>
      <c r="V72" s="45">
        <v>314465.14</v>
      </c>
      <c r="W72" s="45">
        <v>3069.5299999999997</v>
      </c>
      <c r="X72" s="45">
        <v>2367.12</v>
      </c>
      <c r="Y72" s="45">
        <v>58047.109999999993</v>
      </c>
      <c r="Z72" s="45">
        <v>802911.81</v>
      </c>
      <c r="AA72" s="45">
        <v>46201.989999999991</v>
      </c>
      <c r="AB72" s="45">
        <v>5133.5500000000011</v>
      </c>
      <c r="AC72" s="45">
        <v>16299.53</v>
      </c>
      <c r="AD72" s="45">
        <v>476961.09000000008</v>
      </c>
      <c r="AE72" s="45">
        <v>97637.4</v>
      </c>
      <c r="AH72" s="45">
        <v>16645.189999999999</v>
      </c>
      <c r="AI72" s="45">
        <v>285062.80999999994</v>
      </c>
      <c r="AJ72" s="45">
        <v>448087.99999999988</v>
      </c>
      <c r="AK72" s="45">
        <v>91920.78</v>
      </c>
      <c r="AN72" s="45">
        <v>256198.3</v>
      </c>
      <c r="AO72" s="45">
        <v>3211.08</v>
      </c>
      <c r="AP72" s="45">
        <v>32137.509999999995</v>
      </c>
      <c r="AQ72" s="45">
        <v>76234.99000000002</v>
      </c>
      <c r="AR72" s="45">
        <v>63756.260000000009</v>
      </c>
      <c r="AS72" s="45">
        <v>4405.5</v>
      </c>
      <c r="AT72" s="45">
        <v>5727.75</v>
      </c>
      <c r="AU72" s="45">
        <v>15140.990000000005</v>
      </c>
      <c r="AV72" s="45">
        <v>3117.9</v>
      </c>
      <c r="AY72" s="45">
        <v>9421.9500000000007</v>
      </c>
      <c r="AZ72" s="45">
        <v>5488</v>
      </c>
      <c r="BA72" s="45">
        <v>85452.7</v>
      </c>
      <c r="BC72" s="45">
        <v>15430.1</v>
      </c>
      <c r="BD72" s="45">
        <v>259234.49</v>
      </c>
      <c r="BF72" s="45">
        <v>672195.94</v>
      </c>
      <c r="BG72" s="45">
        <v>122103.98000000001</v>
      </c>
      <c r="BH72" s="45">
        <v>302497</v>
      </c>
      <c r="BL72" s="2">
        <f t="shared" ref="BL72:BL86" si="4">SUM(B72:BK72)</f>
        <v>11322676.370000001</v>
      </c>
      <c r="BN72" s="341">
        <v>1259.24</v>
      </c>
      <c r="BO72" s="341">
        <v>560552.19000000006</v>
      </c>
      <c r="BP72" s="341">
        <v>548.67000000000007</v>
      </c>
      <c r="BQ72" s="341"/>
      <c r="BR72" s="341"/>
      <c r="BS72" s="341">
        <v>46750</v>
      </c>
      <c r="BT72" s="341">
        <v>20000</v>
      </c>
      <c r="BU72" s="341"/>
      <c r="BV72" s="341"/>
      <c r="BW72" s="341"/>
      <c r="BX72" s="341">
        <v>27039</v>
      </c>
      <c r="BY72" s="341">
        <v>48607.35</v>
      </c>
      <c r="BZ72" s="341"/>
      <c r="CA72" s="341"/>
      <c r="CB72" s="347"/>
      <c r="CC72" s="341"/>
      <c r="CD72" s="341"/>
      <c r="CE72" s="341">
        <v>48097.5</v>
      </c>
      <c r="CF72" s="341">
        <v>1076.5</v>
      </c>
      <c r="CG72" s="341"/>
      <c r="CH72" s="341">
        <v>351212.06999999995</v>
      </c>
      <c r="CI72" s="341">
        <v>95488.06</v>
      </c>
      <c r="CJ72" s="341">
        <v>45.48</v>
      </c>
      <c r="CK72" s="341"/>
      <c r="CL72" s="341"/>
      <c r="CM72" s="341">
        <v>12952.16</v>
      </c>
      <c r="CN72" s="341"/>
      <c r="CO72" s="341"/>
      <c r="CP72" s="347">
        <v>11460</v>
      </c>
      <c r="CQ72" s="341"/>
      <c r="CR72" s="342">
        <f t="shared" si="3"/>
        <v>1225088.22</v>
      </c>
    </row>
    <row r="73" spans="1:96" x14ac:dyDescent="0.25">
      <c r="A73" s="45" t="s">
        <v>401</v>
      </c>
      <c r="B73" s="45">
        <v>-52854.429999999993</v>
      </c>
      <c r="C73" s="45">
        <v>-9152.61</v>
      </c>
      <c r="D73" s="45">
        <v>235765.00000000003</v>
      </c>
      <c r="E73" s="45">
        <v>33735.050000000003</v>
      </c>
      <c r="G73" s="45">
        <v>663.44</v>
      </c>
      <c r="I73" s="45">
        <v>174580.06</v>
      </c>
      <c r="J73" s="45">
        <v>312325.92000000004</v>
      </c>
      <c r="M73" s="45">
        <v>874.8</v>
      </c>
      <c r="N73" s="45">
        <v>16927.66</v>
      </c>
      <c r="O73" s="45">
        <v>5846020.0000000009</v>
      </c>
      <c r="P73" s="45">
        <v>311</v>
      </c>
      <c r="Q73" s="45">
        <v>637032.74</v>
      </c>
      <c r="R73" s="45">
        <v>1794183.0999999999</v>
      </c>
      <c r="S73" s="45">
        <v>3448808.9899999993</v>
      </c>
      <c r="T73" s="45">
        <v>1540351.3600000003</v>
      </c>
      <c r="U73" s="45">
        <v>48161.23</v>
      </c>
      <c r="V73" s="45">
        <v>643023.34000000008</v>
      </c>
      <c r="W73" s="45">
        <v>315.28999999999996</v>
      </c>
      <c r="X73" s="45">
        <v>29578.559999999998</v>
      </c>
      <c r="Y73" s="45">
        <v>49520.94000000001</v>
      </c>
      <c r="Z73" s="45">
        <v>968643.69</v>
      </c>
      <c r="AA73" s="45">
        <v>45422.11</v>
      </c>
      <c r="AB73" s="45">
        <v>15193.250000000004</v>
      </c>
      <c r="AC73" s="45">
        <v>12020.599999999999</v>
      </c>
      <c r="AD73" s="45">
        <v>1475952.4600000002</v>
      </c>
      <c r="AE73" s="45">
        <v>281025.89</v>
      </c>
      <c r="AG73" s="45">
        <v>12600.000000000002</v>
      </c>
      <c r="AH73" s="45">
        <v>23703.55</v>
      </c>
      <c r="AI73" s="45">
        <v>486275.22999999986</v>
      </c>
      <c r="AJ73" s="45">
        <v>1233086</v>
      </c>
      <c r="AK73" s="45">
        <v>252955.28999999998</v>
      </c>
      <c r="AN73" s="45">
        <v>448230.48</v>
      </c>
      <c r="AO73" s="45">
        <v>4940.13</v>
      </c>
      <c r="AP73" s="45">
        <v>69926.849999999991</v>
      </c>
      <c r="AQ73" s="45">
        <v>156965.33000000002</v>
      </c>
      <c r="AR73" s="45">
        <v>103516.07</v>
      </c>
      <c r="AS73" s="45">
        <v>10290</v>
      </c>
      <c r="AT73" s="45">
        <v>17514.25</v>
      </c>
      <c r="AU73" s="45">
        <v>44653.579999999994</v>
      </c>
      <c r="AV73" s="45">
        <v>7649.7</v>
      </c>
      <c r="AX73" s="45">
        <v>8740.1</v>
      </c>
      <c r="AY73" s="45">
        <v>23910.61</v>
      </c>
      <c r="AZ73" s="45">
        <v>10688</v>
      </c>
      <c r="BA73" s="45">
        <v>393467.77</v>
      </c>
      <c r="BC73" s="45">
        <v>10000</v>
      </c>
      <c r="BD73" s="45">
        <v>162199.28999999998</v>
      </c>
      <c r="BE73" s="45">
        <v>882.27</v>
      </c>
      <c r="BF73" s="45">
        <v>1099530.3</v>
      </c>
      <c r="BG73" s="45">
        <v>366311.94</v>
      </c>
      <c r="BH73" s="45">
        <v>231753</v>
      </c>
      <c r="BL73" s="2">
        <f t="shared" si="4"/>
        <v>22728219.179999996</v>
      </c>
      <c r="BN73" s="341">
        <v>1625.05</v>
      </c>
      <c r="BO73" s="341">
        <v>1245061.5799999998</v>
      </c>
      <c r="BP73" s="341">
        <v>1136.22</v>
      </c>
      <c r="BQ73" s="341"/>
      <c r="BR73" s="341"/>
      <c r="BS73" s="341">
        <v>105875</v>
      </c>
      <c r="BT73" s="341"/>
      <c r="BU73" s="341"/>
      <c r="BV73" s="341"/>
      <c r="BW73" s="341"/>
      <c r="BX73" s="341">
        <v>33161</v>
      </c>
      <c r="BY73" s="341">
        <v>46931.229999999996</v>
      </c>
      <c r="BZ73" s="341"/>
      <c r="CA73" s="341"/>
      <c r="CB73" s="347"/>
      <c r="CC73" s="341"/>
      <c r="CD73" s="341"/>
      <c r="CE73" s="341">
        <v>275759.00000000006</v>
      </c>
      <c r="CF73" s="341">
        <v>1076.5</v>
      </c>
      <c r="CG73" s="341">
        <v>159673.91999999998</v>
      </c>
      <c r="CH73" s="341"/>
      <c r="CI73" s="341"/>
      <c r="CJ73" s="341"/>
      <c r="CK73" s="341"/>
      <c r="CL73" s="341"/>
      <c r="CM73" s="341"/>
      <c r="CN73" s="341"/>
      <c r="CO73" s="341"/>
      <c r="CP73" s="347">
        <v>23451</v>
      </c>
      <c r="CQ73" s="341"/>
      <c r="CR73" s="342">
        <f t="shared" si="3"/>
        <v>1893750.4999999998</v>
      </c>
    </row>
    <row r="74" spans="1:96" x14ac:dyDescent="0.25">
      <c r="A74" s="45" t="s">
        <v>402</v>
      </c>
      <c r="B74" s="45">
        <v>-140598.30999999997</v>
      </c>
      <c r="C74" s="45">
        <v>-15333.05</v>
      </c>
      <c r="D74" s="45">
        <v>424377.00000000006</v>
      </c>
      <c r="E74" s="45">
        <v>69864.000000000015</v>
      </c>
      <c r="G74" s="45">
        <v>641.33000000000004</v>
      </c>
      <c r="I74" s="45">
        <v>261870.08000000002</v>
      </c>
      <c r="J74" s="45">
        <v>592345.84</v>
      </c>
      <c r="M74" s="45">
        <v>1610.08</v>
      </c>
      <c r="N74" s="45">
        <v>31437.07</v>
      </c>
      <c r="O74" s="45">
        <v>11939889.000000002</v>
      </c>
      <c r="P74" s="45">
        <v>235</v>
      </c>
      <c r="Q74" s="45">
        <v>1310433.6000000001</v>
      </c>
      <c r="R74" s="45">
        <v>3757880.8600000008</v>
      </c>
      <c r="S74" s="45">
        <v>6748901.9000000004</v>
      </c>
      <c r="T74" s="45">
        <v>3589095.4899999998</v>
      </c>
      <c r="U74" s="45">
        <v>125093.69</v>
      </c>
      <c r="V74" s="45">
        <v>1490726.1599999997</v>
      </c>
      <c r="W74" s="45">
        <v>8315.9599999999991</v>
      </c>
      <c r="X74" s="45">
        <v>114755.03999999998</v>
      </c>
      <c r="Y74" s="45">
        <v>154762.82999999999</v>
      </c>
      <c r="Z74" s="45">
        <v>2399536.94</v>
      </c>
      <c r="AA74" s="45">
        <v>81441.609999999971</v>
      </c>
      <c r="AB74" s="45">
        <v>78589.570000000007</v>
      </c>
      <c r="AC74" s="45">
        <v>36086.239999999998</v>
      </c>
      <c r="AD74" s="45">
        <v>2069017.08</v>
      </c>
      <c r="AE74" s="45">
        <v>465278.79000000004</v>
      </c>
      <c r="AG74" s="45">
        <v>13470</v>
      </c>
      <c r="AH74" s="45">
        <v>37573.31</v>
      </c>
      <c r="AI74" s="45">
        <v>977327.22999999975</v>
      </c>
      <c r="AJ74" s="45">
        <v>2230151</v>
      </c>
      <c r="AK74" s="45">
        <v>457493.23</v>
      </c>
      <c r="AN74" s="45">
        <v>869476.38</v>
      </c>
      <c r="AO74" s="45">
        <v>6175.16</v>
      </c>
      <c r="AP74" s="45">
        <v>140415.87</v>
      </c>
      <c r="AQ74" s="45">
        <v>314903.31</v>
      </c>
      <c r="AR74" s="45">
        <v>152211.79</v>
      </c>
      <c r="AS74" s="45">
        <v>20001</v>
      </c>
      <c r="AT74" s="45">
        <v>47797</v>
      </c>
      <c r="AU74" s="45">
        <v>84491.709999999992</v>
      </c>
      <c r="AV74" s="45">
        <v>15099.46</v>
      </c>
      <c r="AX74" s="45">
        <v>31515.39</v>
      </c>
      <c r="AY74" s="45">
        <v>36543.75</v>
      </c>
      <c r="AZ74" s="45">
        <v>4202</v>
      </c>
      <c r="BA74" s="45">
        <v>510832.23</v>
      </c>
      <c r="BC74" s="45">
        <v>10000</v>
      </c>
      <c r="BD74" s="45">
        <v>448542.86</v>
      </c>
      <c r="BE74" s="45">
        <v>1764.54</v>
      </c>
      <c r="BF74" s="45">
        <v>2297616.0799999996</v>
      </c>
      <c r="BG74" s="45">
        <v>547929.5</v>
      </c>
      <c r="BH74" s="45">
        <v>77270</v>
      </c>
      <c r="BI74" s="45">
        <v>35535.140000000007</v>
      </c>
      <c r="BL74" s="2">
        <f t="shared" si="4"/>
        <v>44964591.739999995</v>
      </c>
      <c r="BN74" s="341">
        <v>3302.9300000000003</v>
      </c>
      <c r="BO74" s="341">
        <v>2260657.9099999997</v>
      </c>
      <c r="BP74" s="341">
        <v>870.12</v>
      </c>
      <c r="BQ74" s="341"/>
      <c r="BR74" s="341"/>
      <c r="BS74" s="341">
        <v>189200</v>
      </c>
      <c r="BT74" s="341"/>
      <c r="BU74" s="341"/>
      <c r="BV74" s="341">
        <v>5000</v>
      </c>
      <c r="BW74" s="341"/>
      <c r="BX74" s="341">
        <v>33161</v>
      </c>
      <c r="BY74" s="341">
        <v>65368.5</v>
      </c>
      <c r="BZ74" s="341"/>
      <c r="CA74" s="341"/>
      <c r="CB74" s="347"/>
      <c r="CC74" s="341"/>
      <c r="CD74" s="341"/>
      <c r="CE74" s="341">
        <v>681381.26</v>
      </c>
      <c r="CF74" s="341">
        <v>1076.5</v>
      </c>
      <c r="CG74" s="341">
        <v>344862.74999999994</v>
      </c>
      <c r="CH74" s="341"/>
      <c r="CI74" s="341"/>
      <c r="CJ74" s="341"/>
      <c r="CK74" s="341"/>
      <c r="CL74" s="341"/>
      <c r="CM74" s="341"/>
      <c r="CN74" s="341"/>
      <c r="CO74" s="341"/>
      <c r="CP74" s="347">
        <v>47556</v>
      </c>
      <c r="CQ74" s="341"/>
      <c r="CR74" s="342">
        <f t="shared" si="3"/>
        <v>3632436.9699999997</v>
      </c>
    </row>
    <row r="75" spans="1:96" x14ac:dyDescent="0.25">
      <c r="A75" s="45" t="s">
        <v>403</v>
      </c>
      <c r="B75" s="45">
        <v>-45571.83</v>
      </c>
      <c r="C75" s="45">
        <v>-7572.61</v>
      </c>
      <c r="D75" s="45">
        <v>188612</v>
      </c>
      <c r="E75" s="45">
        <v>19361.329999999994</v>
      </c>
      <c r="F75" s="45">
        <v>1959.61</v>
      </c>
      <c r="G75" s="45">
        <v>663.44</v>
      </c>
      <c r="I75" s="45">
        <v>116386.69999999998</v>
      </c>
      <c r="J75" s="45">
        <v>233448.04000000004</v>
      </c>
      <c r="M75" s="45">
        <v>604.16</v>
      </c>
      <c r="N75" s="45">
        <v>13904.86</v>
      </c>
      <c r="O75" s="45">
        <v>3360359</v>
      </c>
      <c r="P75" s="45">
        <v>55</v>
      </c>
      <c r="Q75" s="45">
        <v>332325.01</v>
      </c>
      <c r="R75" s="45">
        <v>926918.26999999979</v>
      </c>
      <c r="S75" s="45">
        <v>1773170.28</v>
      </c>
      <c r="T75" s="45">
        <v>680366.4</v>
      </c>
      <c r="U75" s="45">
        <v>31355.43</v>
      </c>
      <c r="V75" s="45">
        <v>440174.54</v>
      </c>
      <c r="W75" s="45">
        <v>6940.21</v>
      </c>
      <c r="X75" s="45">
        <v>80167.049999999988</v>
      </c>
      <c r="Y75" s="45">
        <v>32901.939999999995</v>
      </c>
      <c r="Z75" s="45">
        <v>734958.10000000009</v>
      </c>
      <c r="AA75" s="45">
        <v>36516.899999999994</v>
      </c>
      <c r="AB75" s="45">
        <v>8486.4599999999973</v>
      </c>
      <c r="AC75" s="45">
        <v>3983.1299999999997</v>
      </c>
      <c r="AD75" s="45">
        <v>930687.87999999989</v>
      </c>
      <c r="AE75" s="45">
        <v>247015.82</v>
      </c>
      <c r="AG75" s="45">
        <v>12200</v>
      </c>
      <c r="AH75" s="45">
        <v>17658.689999999999</v>
      </c>
      <c r="AI75" s="45">
        <v>332235.62</v>
      </c>
      <c r="AJ75" s="45">
        <v>715513.99999999977</v>
      </c>
      <c r="AK75" s="45">
        <v>146780.56000000006</v>
      </c>
      <c r="AN75" s="45">
        <v>295962.76999999996</v>
      </c>
      <c r="AO75" s="45">
        <v>1729.05</v>
      </c>
      <c r="AP75" s="45">
        <v>39865.08</v>
      </c>
      <c r="AQ75" s="45">
        <v>94428.160000000003</v>
      </c>
      <c r="AR75" s="45">
        <v>49999.999999999993</v>
      </c>
      <c r="AS75" s="45">
        <v>5980.5</v>
      </c>
      <c r="AT75" s="45">
        <v>5822.5</v>
      </c>
      <c r="AU75" s="45">
        <v>28837.809999999994</v>
      </c>
      <c r="AV75" s="45">
        <v>4372.92</v>
      </c>
      <c r="AX75" s="45">
        <v>3166.06</v>
      </c>
      <c r="AY75" s="45">
        <v>22500</v>
      </c>
      <c r="AZ75" s="45">
        <v>3184</v>
      </c>
      <c r="BA75" s="45">
        <v>143786.47999999998</v>
      </c>
      <c r="BC75" s="45">
        <v>10000</v>
      </c>
      <c r="BD75" s="45">
        <v>48077.030000000006</v>
      </c>
      <c r="BF75" s="45">
        <v>751312.40999999992</v>
      </c>
      <c r="BG75" s="45">
        <v>244207.96000000002</v>
      </c>
      <c r="BH75" s="45">
        <v>145000</v>
      </c>
      <c r="BL75" s="2">
        <f t="shared" si="4"/>
        <v>13270798.720000003</v>
      </c>
      <c r="BN75" s="341">
        <v>1084.9000000000001</v>
      </c>
      <c r="BO75" s="341">
        <v>938231.34999999986</v>
      </c>
      <c r="BP75" s="341">
        <v>301.83000000000004</v>
      </c>
      <c r="BQ75" s="341"/>
      <c r="BR75" s="341"/>
      <c r="BS75" s="341">
        <v>59675</v>
      </c>
      <c r="BT75" s="341"/>
      <c r="BU75" s="341"/>
      <c r="BV75" s="341"/>
      <c r="BW75" s="341"/>
      <c r="BX75" s="341"/>
      <c r="BY75" s="341">
        <v>26817.85</v>
      </c>
      <c r="BZ75" s="341"/>
      <c r="CA75" s="341"/>
      <c r="CB75" s="347"/>
      <c r="CC75" s="341"/>
      <c r="CD75" s="341"/>
      <c r="CE75" s="341">
        <v>179564</v>
      </c>
      <c r="CF75" s="341">
        <v>1076.5</v>
      </c>
      <c r="CG75" s="341"/>
      <c r="CH75" s="341">
        <v>475053.33</v>
      </c>
      <c r="CI75" s="341"/>
      <c r="CJ75" s="341"/>
      <c r="CK75" s="341">
        <v>6447</v>
      </c>
      <c r="CL75" s="341"/>
      <c r="CM75" s="341">
        <v>6014.4</v>
      </c>
      <c r="CN75" s="341"/>
      <c r="CO75" s="341"/>
      <c r="CP75" s="347">
        <v>13449</v>
      </c>
      <c r="CQ75" s="341"/>
      <c r="CR75" s="342">
        <f t="shared" si="3"/>
        <v>1707715.1599999997</v>
      </c>
    </row>
    <row r="76" spans="1:96" x14ac:dyDescent="0.25">
      <c r="A76" s="45" t="s">
        <v>404</v>
      </c>
      <c r="B76" s="45">
        <v>-59037.1</v>
      </c>
      <c r="C76" s="45">
        <v>-4582.3599999999997</v>
      </c>
      <c r="D76" s="45">
        <v>141459</v>
      </c>
      <c r="E76" s="45">
        <v>20061.419999999998</v>
      </c>
      <c r="F76" s="45">
        <v>3240</v>
      </c>
      <c r="G76" s="45">
        <v>663.44</v>
      </c>
      <c r="I76" s="45">
        <v>58193.35</v>
      </c>
      <c r="J76" s="45">
        <v>222575.49999999997</v>
      </c>
      <c r="M76" s="45">
        <v>-67.790000000000006</v>
      </c>
      <c r="N76" s="45">
        <v>17532.21</v>
      </c>
      <c r="O76" s="45">
        <v>3415530</v>
      </c>
      <c r="Q76" s="45">
        <v>367192.79</v>
      </c>
      <c r="R76" s="45">
        <v>1073654.9000000001</v>
      </c>
      <c r="S76" s="45">
        <v>1818050.4800000002</v>
      </c>
      <c r="T76" s="45">
        <v>515777.59</v>
      </c>
      <c r="U76" s="45">
        <v>42916.78</v>
      </c>
      <c r="V76" s="45">
        <v>645590.12999999989</v>
      </c>
      <c r="W76" s="45">
        <v>5862.4999999999991</v>
      </c>
      <c r="X76" s="45">
        <v>37789.65</v>
      </c>
      <c r="Y76" s="45">
        <v>30681.11</v>
      </c>
      <c r="Z76" s="45">
        <v>548807.78999999992</v>
      </c>
      <c r="AA76" s="45">
        <v>31498.179999999993</v>
      </c>
      <c r="AB76" s="45">
        <v>26248.479999999996</v>
      </c>
      <c r="AC76" s="45">
        <v>4167.0700000000006</v>
      </c>
      <c r="AD76" s="45">
        <v>1113752.78</v>
      </c>
      <c r="AE76" s="45">
        <v>174874.13999999998</v>
      </c>
      <c r="AH76" s="45">
        <v>17773.75</v>
      </c>
      <c r="AI76" s="45">
        <v>287088.75</v>
      </c>
      <c r="AJ76" s="45">
        <v>563080</v>
      </c>
      <c r="AK76" s="45">
        <v>115510.25</v>
      </c>
      <c r="AN76" s="45">
        <v>234193.67</v>
      </c>
      <c r="AO76" s="45">
        <v>1729.05</v>
      </c>
      <c r="AP76" s="45">
        <v>38386.189999999995</v>
      </c>
      <c r="AQ76" s="45">
        <v>88257.329999999973</v>
      </c>
      <c r="AR76" s="45">
        <v>49999.999999999993</v>
      </c>
      <c r="AS76" s="45">
        <v>5112.5</v>
      </c>
      <c r="AT76" s="45">
        <v>8580</v>
      </c>
      <c r="AU76" s="45">
        <v>16136.350000000002</v>
      </c>
      <c r="AV76" s="45">
        <v>3952.9</v>
      </c>
      <c r="AY76" s="45">
        <v>14083.94</v>
      </c>
      <c r="AZ76" s="45">
        <v>4063.2</v>
      </c>
      <c r="BA76" s="45">
        <v>145868.03</v>
      </c>
      <c r="BC76" s="45">
        <v>10000</v>
      </c>
      <c r="BD76" s="45">
        <v>46205.500000000007</v>
      </c>
      <c r="BE76" s="45">
        <v>1470.45</v>
      </c>
      <c r="BF76" s="45">
        <v>732302.04999999981</v>
      </c>
      <c r="BG76" s="45">
        <v>61051.99</v>
      </c>
      <c r="BH76" s="45">
        <v>182390</v>
      </c>
      <c r="BL76" s="2">
        <f t="shared" si="4"/>
        <v>12879667.939999999</v>
      </c>
      <c r="BN76" s="341"/>
      <c r="BO76" s="341">
        <v>605921.37000000011</v>
      </c>
      <c r="BP76" s="341">
        <v>424.03</v>
      </c>
      <c r="BQ76" s="341"/>
      <c r="BR76" s="341"/>
      <c r="BS76" s="341">
        <v>48675</v>
      </c>
      <c r="BT76" s="341"/>
      <c r="BU76" s="341"/>
      <c r="BV76" s="341"/>
      <c r="BW76" s="341"/>
      <c r="BX76" s="341"/>
      <c r="BY76" s="341">
        <v>35198.42</v>
      </c>
      <c r="BZ76" s="341"/>
      <c r="CA76" s="341"/>
      <c r="CB76" s="347"/>
      <c r="CC76" s="341"/>
      <c r="CD76" s="341"/>
      <c r="CE76" s="341">
        <v>205216</v>
      </c>
      <c r="CF76" s="341">
        <v>1076.5</v>
      </c>
      <c r="CG76" s="341"/>
      <c r="CH76" s="341">
        <v>487046.58999999997</v>
      </c>
      <c r="CI76" s="341"/>
      <c r="CJ76" s="341"/>
      <c r="CK76" s="341"/>
      <c r="CL76" s="341"/>
      <c r="CM76" s="341"/>
      <c r="CN76" s="341"/>
      <c r="CO76" s="341"/>
      <c r="CP76" s="347">
        <v>13587</v>
      </c>
      <c r="CQ76" s="341"/>
      <c r="CR76" s="342">
        <f t="shared" si="3"/>
        <v>1397144.9100000001</v>
      </c>
    </row>
    <row r="77" spans="1:96" x14ac:dyDescent="0.25">
      <c r="A77" s="45" t="s">
        <v>405</v>
      </c>
      <c r="B77" s="45">
        <v>-54228.04</v>
      </c>
      <c r="C77" s="45">
        <v>-12944.14</v>
      </c>
      <c r="D77" s="45">
        <v>330071</v>
      </c>
      <c r="E77" s="45">
        <v>61137.449999999983</v>
      </c>
      <c r="G77" s="45">
        <v>663.44</v>
      </c>
      <c r="I77" s="45">
        <v>174580.06</v>
      </c>
      <c r="J77" s="45">
        <v>402734.22999999992</v>
      </c>
      <c r="M77" s="45">
        <v>15273.18</v>
      </c>
      <c r="N77" s="45">
        <v>21764.13</v>
      </c>
      <c r="O77" s="45">
        <v>8797415</v>
      </c>
      <c r="P77" s="45">
        <v>345</v>
      </c>
      <c r="Q77" s="45">
        <v>979439.99999999988</v>
      </c>
      <c r="R77" s="45">
        <v>2832254.6399999992</v>
      </c>
      <c r="S77" s="45">
        <v>5075203.7</v>
      </c>
      <c r="T77" s="45">
        <v>2480666.0699999998</v>
      </c>
      <c r="U77" s="45">
        <v>91414.400000000009</v>
      </c>
      <c r="V77" s="45">
        <v>1374536.4200000002</v>
      </c>
      <c r="W77" s="45">
        <v>12802.469999999998</v>
      </c>
      <c r="X77" s="45">
        <v>132748.56</v>
      </c>
      <c r="Y77" s="45">
        <v>24881.570000000003</v>
      </c>
      <c r="Z77" s="45">
        <v>1603543.1</v>
      </c>
      <c r="AA77" s="45">
        <v>66904.87</v>
      </c>
      <c r="AB77" s="45">
        <v>35189.67</v>
      </c>
      <c r="AC77" s="45">
        <v>31050.690000000002</v>
      </c>
      <c r="AD77" s="45">
        <v>1489724.3899999997</v>
      </c>
      <c r="AE77" s="45">
        <v>624359.84</v>
      </c>
      <c r="AG77" s="45">
        <v>3968.4700000000003</v>
      </c>
      <c r="AH77" s="45">
        <v>33790.04</v>
      </c>
      <c r="AI77" s="45">
        <v>791987.77000000014</v>
      </c>
      <c r="AJ77" s="45">
        <v>2056662</v>
      </c>
      <c r="AK77" s="45">
        <v>421903.7</v>
      </c>
      <c r="AN77" s="45">
        <v>658762.18999999994</v>
      </c>
      <c r="AO77" s="45">
        <v>7163.19</v>
      </c>
      <c r="AP77" s="45">
        <v>118642.66999999998</v>
      </c>
      <c r="AQ77" s="45">
        <v>267364.23</v>
      </c>
      <c r="AR77" s="45">
        <v>155223.90000000002</v>
      </c>
      <c r="AS77" s="45">
        <v>17055.25</v>
      </c>
      <c r="AT77" s="45">
        <v>28965</v>
      </c>
      <c r="AU77" s="45">
        <v>49601.000000000007</v>
      </c>
      <c r="AV77" s="45">
        <v>12367.98</v>
      </c>
      <c r="AZ77" s="45">
        <v>18304</v>
      </c>
      <c r="BA77" s="45">
        <v>308765.36000000004</v>
      </c>
      <c r="BC77" s="45">
        <v>10000</v>
      </c>
      <c r="BD77" s="45">
        <v>211052.42</v>
      </c>
      <c r="BE77" s="45">
        <v>588.17999999999995</v>
      </c>
      <c r="BF77" s="45">
        <v>1576534.69</v>
      </c>
      <c r="BG77" s="45">
        <v>427363.93000000005</v>
      </c>
      <c r="BH77" s="45">
        <v>60000</v>
      </c>
      <c r="BL77" s="2">
        <f t="shared" si="4"/>
        <v>33827597.670000009</v>
      </c>
      <c r="BN77" s="341">
        <v>1441.92</v>
      </c>
      <c r="BO77" s="341">
        <v>1843338.6699999997</v>
      </c>
      <c r="BP77" s="341">
        <v>1072.43</v>
      </c>
      <c r="BQ77" s="341"/>
      <c r="BR77" s="341"/>
      <c r="BS77" s="341">
        <v>171875</v>
      </c>
      <c r="BT77" s="341"/>
      <c r="BU77" s="341"/>
      <c r="BV77" s="341"/>
      <c r="BW77" s="341"/>
      <c r="BX77" s="341"/>
      <c r="BY77" s="341">
        <v>55311.81</v>
      </c>
      <c r="BZ77" s="341"/>
      <c r="CA77" s="341"/>
      <c r="CB77" s="347"/>
      <c r="CC77" s="341"/>
      <c r="CD77" s="341"/>
      <c r="CE77" s="341">
        <v>724669</v>
      </c>
      <c r="CF77" s="341">
        <v>1076.5</v>
      </c>
      <c r="CG77" s="341">
        <v>285602.32</v>
      </c>
      <c r="CH77" s="341"/>
      <c r="CI77" s="341"/>
      <c r="CJ77" s="341"/>
      <c r="CK77" s="341"/>
      <c r="CL77" s="341"/>
      <c r="CM77" s="341"/>
      <c r="CN77" s="341"/>
      <c r="CO77" s="341"/>
      <c r="CP77" s="347">
        <v>35094</v>
      </c>
      <c r="CQ77" s="341"/>
      <c r="CR77" s="342">
        <f t="shared" si="3"/>
        <v>3119481.6499999994</v>
      </c>
    </row>
    <row r="78" spans="1:96" x14ac:dyDescent="0.25">
      <c r="A78" s="45" t="s">
        <v>406</v>
      </c>
      <c r="B78" s="45">
        <v>-191163.37000000002</v>
      </c>
      <c r="C78" s="45">
        <v>-32447.91</v>
      </c>
      <c r="D78" s="45">
        <v>424377.00000000006</v>
      </c>
      <c r="E78" s="45">
        <v>78586.62999999999</v>
      </c>
      <c r="F78" s="45">
        <v>5106.8599999999997</v>
      </c>
      <c r="G78" s="45">
        <v>641.33000000000004</v>
      </c>
      <c r="I78" s="45">
        <v>261870.08000000002</v>
      </c>
      <c r="J78" s="45">
        <v>602698.99</v>
      </c>
      <c r="M78" s="45">
        <v>2475.66</v>
      </c>
      <c r="N78" s="45">
        <v>25391.48</v>
      </c>
      <c r="O78" s="45">
        <v>13377801</v>
      </c>
      <c r="P78" s="45">
        <v>440</v>
      </c>
      <c r="Q78" s="45">
        <v>1238897.77</v>
      </c>
      <c r="R78" s="45">
        <v>3667675.75</v>
      </c>
      <c r="S78" s="45">
        <v>7141532.7600000016</v>
      </c>
      <c r="T78" s="45">
        <v>2801743.48</v>
      </c>
      <c r="U78" s="45">
        <v>164392.35</v>
      </c>
      <c r="V78" s="45">
        <v>2251519.4699999997</v>
      </c>
      <c r="W78" s="45">
        <v>922.01999999999987</v>
      </c>
      <c r="X78" s="45">
        <v>132790.94</v>
      </c>
      <c r="Y78" s="45">
        <v>91535.13</v>
      </c>
      <c r="Z78" s="45">
        <v>2585886.5200000005</v>
      </c>
      <c r="AA78" s="45">
        <v>79395.449999999983</v>
      </c>
      <c r="AB78" s="45">
        <v>53644.01999999999</v>
      </c>
      <c r="AC78" s="45">
        <v>32480.819999999996</v>
      </c>
      <c r="AD78" s="45">
        <v>3733707.98</v>
      </c>
      <c r="AE78" s="45">
        <v>728094.2799999998</v>
      </c>
      <c r="AG78" s="45">
        <v>24795</v>
      </c>
      <c r="AH78" s="45">
        <v>40977.54</v>
      </c>
      <c r="AI78" s="45">
        <v>1270784.99</v>
      </c>
      <c r="AJ78" s="45">
        <v>2520958</v>
      </c>
      <c r="AK78" s="45">
        <v>517149.39</v>
      </c>
      <c r="AN78" s="45">
        <v>1185769.92</v>
      </c>
      <c r="AO78" s="45">
        <v>8892.23</v>
      </c>
      <c r="AP78" s="45">
        <v>157967.90000000002</v>
      </c>
      <c r="AQ78" s="45">
        <v>377358.17</v>
      </c>
      <c r="AR78" s="45">
        <v>144179.50999999998</v>
      </c>
      <c r="AS78" s="45">
        <v>23443.75</v>
      </c>
      <c r="AT78" s="45">
        <v>14410</v>
      </c>
      <c r="AU78" s="45">
        <v>56473.429999999993</v>
      </c>
      <c r="AV78" s="45">
        <v>16988.78</v>
      </c>
      <c r="AY78" s="45">
        <v>60970.080000000002</v>
      </c>
      <c r="AZ78" s="45">
        <v>2080</v>
      </c>
      <c r="BA78" s="45">
        <v>582896.01</v>
      </c>
      <c r="BC78" s="45">
        <v>10000</v>
      </c>
      <c r="BD78" s="45">
        <v>607443.02</v>
      </c>
      <c r="BE78" s="45">
        <v>1764.54</v>
      </c>
      <c r="BF78" s="45">
        <v>2787099.3900000006</v>
      </c>
      <c r="BG78" s="45">
        <v>545451.56999999995</v>
      </c>
      <c r="BH78" s="45">
        <v>128000</v>
      </c>
      <c r="BI78" s="45">
        <v>89781.2</v>
      </c>
      <c r="BL78" s="2">
        <f t="shared" si="4"/>
        <v>50435630.910000011</v>
      </c>
      <c r="BN78" s="341">
        <v>3958.1800000000003</v>
      </c>
      <c r="BO78" s="341">
        <v>2609152.8299999996</v>
      </c>
      <c r="BP78" s="341">
        <v>1791.5</v>
      </c>
      <c r="BQ78" s="341"/>
      <c r="BR78" s="341"/>
      <c r="BS78" s="341">
        <v>215600</v>
      </c>
      <c r="BT78" s="341"/>
      <c r="BU78" s="341"/>
      <c r="BV78" s="341">
        <v>4880</v>
      </c>
      <c r="BW78" s="341"/>
      <c r="BX78" s="341"/>
      <c r="BY78" s="341">
        <v>122356.42</v>
      </c>
      <c r="BZ78" s="341"/>
      <c r="CA78" s="341"/>
      <c r="CB78" s="347"/>
      <c r="CC78" s="341"/>
      <c r="CD78" s="341"/>
      <c r="CE78" s="341">
        <v>536768.10000000009</v>
      </c>
      <c r="CF78" s="341">
        <v>1076.5</v>
      </c>
      <c r="CG78" s="341"/>
      <c r="CH78" s="341">
        <v>1454792.3699999999</v>
      </c>
      <c r="CI78" s="341"/>
      <c r="CJ78" s="341"/>
      <c r="CK78" s="341"/>
      <c r="CL78" s="341"/>
      <c r="CM78" s="341">
        <v>27064.799999999999</v>
      </c>
      <c r="CN78" s="341"/>
      <c r="CO78" s="341"/>
      <c r="CP78" s="347">
        <v>53417</v>
      </c>
      <c r="CQ78" s="341"/>
      <c r="CR78" s="342">
        <f t="shared" si="3"/>
        <v>5030857.6999999993</v>
      </c>
    </row>
    <row r="79" spans="1:96" x14ac:dyDescent="0.25">
      <c r="A79" s="45" t="s">
        <v>407</v>
      </c>
      <c r="B79" s="45">
        <v>-389937.12</v>
      </c>
      <c r="C79" s="45">
        <v>-36844.9</v>
      </c>
      <c r="D79" s="45">
        <v>235765.00000000003</v>
      </c>
      <c r="E79" s="45">
        <v>56828.030000000006</v>
      </c>
      <c r="F79" s="45">
        <v>3732.33</v>
      </c>
      <c r="G79" s="45">
        <v>3206.63</v>
      </c>
      <c r="I79" s="45">
        <v>203676.72999999998</v>
      </c>
      <c r="J79" s="45">
        <v>644587.52000000014</v>
      </c>
      <c r="M79" s="45">
        <v>1236.01</v>
      </c>
      <c r="N79" s="45">
        <v>39296.339999999997</v>
      </c>
      <c r="O79" s="45">
        <v>7433602</v>
      </c>
      <c r="P79" s="45">
        <v>175</v>
      </c>
      <c r="Q79" s="45">
        <v>875606.95999999985</v>
      </c>
      <c r="R79" s="45">
        <v>2571398.3400000003</v>
      </c>
      <c r="S79" s="45">
        <v>4381111.22</v>
      </c>
      <c r="T79" s="45">
        <v>1908417.08</v>
      </c>
      <c r="U79" s="45">
        <v>83127.460000000006</v>
      </c>
      <c r="V79" s="45">
        <v>660253.29999999993</v>
      </c>
      <c r="W79" s="45">
        <v>13777.260000000002</v>
      </c>
      <c r="X79" s="45">
        <v>166699.24000000002</v>
      </c>
      <c r="Y79" s="45">
        <v>98845.48</v>
      </c>
      <c r="Z79" s="45">
        <v>1285267.5299999998</v>
      </c>
      <c r="AA79" s="45">
        <v>28164.03</v>
      </c>
      <c r="AB79" s="45">
        <v>63934.469999999994</v>
      </c>
      <c r="AC79" s="45">
        <v>18353.32</v>
      </c>
      <c r="AD79" s="45">
        <v>1367866.0899999999</v>
      </c>
      <c r="AE79" s="45">
        <v>382450.00999999995</v>
      </c>
      <c r="AG79" s="45">
        <v>10916.830000000002</v>
      </c>
      <c r="AH79" s="45">
        <v>31040.93</v>
      </c>
      <c r="AI79" s="45">
        <v>858726.08000000007</v>
      </c>
      <c r="AJ79" s="45">
        <v>2519635.0000000005</v>
      </c>
      <c r="AK79" s="45">
        <v>516877.98999999987</v>
      </c>
      <c r="AN79" s="45">
        <v>678779.27</v>
      </c>
      <c r="AO79" s="45">
        <v>11115.29</v>
      </c>
      <c r="AP79" s="45">
        <v>102554.69</v>
      </c>
      <c r="AQ79" s="45">
        <v>231341.81000000003</v>
      </c>
      <c r="AR79" s="45">
        <v>507238.75999999995</v>
      </c>
      <c r="AS79" s="45">
        <v>13838.25</v>
      </c>
      <c r="AT79" s="45">
        <v>14156.75</v>
      </c>
      <c r="AU79" s="45">
        <v>16713.089999999997</v>
      </c>
      <c r="AV79" s="45">
        <v>9973.56</v>
      </c>
      <c r="AX79" s="45">
        <v>7038.63</v>
      </c>
      <c r="AY79" s="45">
        <v>38256.78</v>
      </c>
      <c r="AZ79" s="45">
        <v>9968</v>
      </c>
      <c r="BA79" s="45">
        <v>294447.31</v>
      </c>
      <c r="BC79" s="45">
        <v>217313.65</v>
      </c>
      <c r="BD79" s="45">
        <v>144910.07</v>
      </c>
      <c r="BF79" s="45">
        <v>1768272.31</v>
      </c>
      <c r="BG79" s="45">
        <v>384627.54000000004</v>
      </c>
      <c r="BH79" s="45">
        <v>217500</v>
      </c>
      <c r="BL79" s="2">
        <f t="shared" si="4"/>
        <v>30705837.949999996</v>
      </c>
      <c r="BN79" s="341">
        <v>21849.41</v>
      </c>
      <c r="BO79" s="341">
        <v>2665591.5200000009</v>
      </c>
      <c r="BP79" s="341">
        <v>1758.92</v>
      </c>
      <c r="BQ79" s="341"/>
      <c r="BR79" s="341">
        <v>115000</v>
      </c>
      <c r="BS79" s="341">
        <v>213675</v>
      </c>
      <c r="BT79" s="341"/>
      <c r="BU79" s="341">
        <v>6949.26</v>
      </c>
      <c r="BV79" s="341"/>
      <c r="BW79" s="341"/>
      <c r="BX79" s="341">
        <v>33161</v>
      </c>
      <c r="BY79" s="341">
        <v>108947.5</v>
      </c>
      <c r="BZ79" s="341"/>
      <c r="CA79" s="341"/>
      <c r="CB79" s="347"/>
      <c r="CC79" s="341"/>
      <c r="CD79" s="341"/>
      <c r="CE79" s="341">
        <v>548952.80000000005</v>
      </c>
      <c r="CF79" s="341">
        <v>1076.5</v>
      </c>
      <c r="CG79" s="341"/>
      <c r="CH79" s="341">
        <v>845474.67000000016</v>
      </c>
      <c r="CI79" s="341">
        <v>575260.68999999994</v>
      </c>
      <c r="CJ79" s="341">
        <v>5932.12</v>
      </c>
      <c r="CK79" s="341"/>
      <c r="CL79" s="341"/>
      <c r="CM79" s="341">
        <v>10825.92</v>
      </c>
      <c r="CN79" s="341"/>
      <c r="CO79" s="341"/>
      <c r="CP79" s="347">
        <v>30004</v>
      </c>
      <c r="CQ79" s="341"/>
      <c r="CR79" s="342">
        <f t="shared" si="3"/>
        <v>5184459.3100000015</v>
      </c>
    </row>
    <row r="80" spans="1:96" x14ac:dyDescent="0.25">
      <c r="A80" s="45" t="s">
        <v>408</v>
      </c>
      <c r="B80" s="45">
        <v>-197524.87</v>
      </c>
      <c r="C80" s="45">
        <v>-42055.38</v>
      </c>
      <c r="D80" s="45">
        <v>707295</v>
      </c>
      <c r="E80" s="45">
        <v>122668.3</v>
      </c>
      <c r="F80" s="45">
        <v>11402.47</v>
      </c>
      <c r="G80" s="45">
        <v>1923.98</v>
      </c>
      <c r="I80" s="45">
        <v>436450.14</v>
      </c>
      <c r="J80" s="45">
        <v>1292216.74</v>
      </c>
      <c r="M80" s="45">
        <v>3038.02</v>
      </c>
      <c r="N80" s="45">
        <v>60455.91</v>
      </c>
      <c r="O80" s="45">
        <v>20666046</v>
      </c>
      <c r="P80" s="45">
        <v>330</v>
      </c>
      <c r="Q80" s="45">
        <v>2322727.34</v>
      </c>
      <c r="R80" s="45">
        <v>6508853.04</v>
      </c>
      <c r="S80" s="45">
        <v>10990419.709999999</v>
      </c>
      <c r="T80" s="45">
        <v>2296175.8199999998</v>
      </c>
      <c r="U80" s="45">
        <v>263210.75</v>
      </c>
      <c r="V80" s="45">
        <v>3439175.71</v>
      </c>
      <c r="W80" s="45">
        <v>56263.920000000013</v>
      </c>
      <c r="X80" s="45">
        <v>152681.41</v>
      </c>
      <c r="Y80" s="45">
        <v>318597.7900000001</v>
      </c>
      <c r="Z80" s="45">
        <v>3842974.9099999992</v>
      </c>
      <c r="AA80" s="45">
        <v>161307.59</v>
      </c>
      <c r="AB80" s="45">
        <v>79511.790000000008</v>
      </c>
      <c r="AC80" s="45">
        <v>78401.099999999991</v>
      </c>
      <c r="AD80" s="45">
        <v>6942079.1399999997</v>
      </c>
      <c r="AE80" s="45">
        <v>788755.37</v>
      </c>
      <c r="AH80" s="45">
        <v>57028.07</v>
      </c>
      <c r="AI80" s="45">
        <v>2057971.2100000002</v>
      </c>
      <c r="AJ80" s="45">
        <v>3358726.0000000005</v>
      </c>
      <c r="AK80" s="45">
        <v>689009.14</v>
      </c>
      <c r="AN80" s="45">
        <v>1937179.7599999998</v>
      </c>
      <c r="AO80" s="45">
        <v>19019.5</v>
      </c>
      <c r="AP80" s="45">
        <v>231438.31</v>
      </c>
      <c r="AQ80" s="45">
        <v>546347.94999999995</v>
      </c>
      <c r="AR80" s="45">
        <v>425911.88000000006</v>
      </c>
      <c r="AS80" s="45">
        <v>29995.25</v>
      </c>
      <c r="AT80" s="45">
        <v>50245</v>
      </c>
      <c r="AU80" s="45">
        <v>83162.120000000024</v>
      </c>
      <c r="AV80" s="45">
        <v>23518.5</v>
      </c>
      <c r="AX80" s="45">
        <v>20123.650000000001</v>
      </c>
      <c r="AY80" s="45">
        <v>79177.83</v>
      </c>
      <c r="AZ80" s="45">
        <v>30195.200000000001</v>
      </c>
      <c r="BA80" s="45">
        <v>645740.18000000005</v>
      </c>
      <c r="BB80" s="45">
        <v>52608</v>
      </c>
      <c r="BC80" s="45">
        <v>64092.15</v>
      </c>
      <c r="BD80" s="45">
        <v>133879.18</v>
      </c>
      <c r="BE80" s="45">
        <v>1764.54</v>
      </c>
      <c r="BF80" s="45">
        <v>4813614.2700000005</v>
      </c>
      <c r="BG80" s="45">
        <v>915779.85000000009</v>
      </c>
      <c r="BH80" s="45">
        <v>195000</v>
      </c>
      <c r="BL80" s="2">
        <f t="shared" si="4"/>
        <v>77764909.240000024</v>
      </c>
      <c r="BN80" s="341">
        <v>47296.43</v>
      </c>
      <c r="BO80" s="341">
        <v>4216854.9899999993</v>
      </c>
      <c r="BP80" s="341">
        <v>3119.3999999999996</v>
      </c>
      <c r="BQ80" s="341"/>
      <c r="BR80" s="341">
        <v>935500</v>
      </c>
      <c r="BS80" s="341">
        <v>283250</v>
      </c>
      <c r="BT80" s="341"/>
      <c r="BU80" s="341">
        <v>18154.36</v>
      </c>
      <c r="BV80" s="341"/>
      <c r="BW80" s="341"/>
      <c r="BX80" s="341">
        <v>33161</v>
      </c>
      <c r="BY80" s="341">
        <v>207838.3</v>
      </c>
      <c r="BZ80" s="341"/>
      <c r="CA80" s="341"/>
      <c r="CB80" s="347"/>
      <c r="CC80" s="341"/>
      <c r="CD80" s="341"/>
      <c r="CE80" s="341">
        <v>525865.99999999988</v>
      </c>
      <c r="CF80" s="341">
        <v>1076.5</v>
      </c>
      <c r="CG80" s="341"/>
      <c r="CH80" s="341">
        <v>2380177.56</v>
      </c>
      <c r="CI80" s="341">
        <v>382319.25</v>
      </c>
      <c r="CJ80" s="341">
        <v>1728.31</v>
      </c>
      <c r="CK80" s="341"/>
      <c r="CL80" s="341"/>
      <c r="CM80" s="341"/>
      <c r="CN80" s="341">
        <v>10000</v>
      </c>
      <c r="CO80" s="341"/>
      <c r="CP80" s="347">
        <v>81854</v>
      </c>
      <c r="CQ80" s="341"/>
      <c r="CR80" s="342">
        <f t="shared" si="3"/>
        <v>9128196.0999999996</v>
      </c>
    </row>
    <row r="81" spans="1:96" x14ac:dyDescent="0.25">
      <c r="A81" s="45" t="s">
        <v>409</v>
      </c>
      <c r="B81" s="45">
        <v>-95515.209999999992</v>
      </c>
      <c r="C81" s="45">
        <v>-19366.3</v>
      </c>
      <c r="D81" s="45">
        <v>188612</v>
      </c>
      <c r="E81" s="45">
        <v>29566.95</v>
      </c>
      <c r="F81" s="45">
        <v>19865.439999999999</v>
      </c>
      <c r="G81" s="45">
        <v>641.33000000000004</v>
      </c>
      <c r="I81" s="45">
        <v>116386.69999999998</v>
      </c>
      <c r="J81" s="45">
        <v>419127.67999999993</v>
      </c>
      <c r="M81" s="45">
        <v>1021.57</v>
      </c>
      <c r="N81" s="45">
        <v>22368.69</v>
      </c>
      <c r="O81" s="45">
        <v>4776662</v>
      </c>
      <c r="P81" s="45">
        <v>55</v>
      </c>
      <c r="Q81" s="45">
        <v>444892.11</v>
      </c>
      <c r="R81" s="45">
        <v>1430332.6099999999</v>
      </c>
      <c r="S81" s="45">
        <v>2587815.2999999998</v>
      </c>
      <c r="T81" s="45">
        <v>518865.24</v>
      </c>
      <c r="U81" s="45">
        <v>103228.48000000001</v>
      </c>
      <c r="V81" s="45">
        <v>847670.0199999999</v>
      </c>
      <c r="W81" s="45">
        <v>1088.47</v>
      </c>
      <c r="X81" s="45">
        <v>26790.91</v>
      </c>
      <c r="Y81" s="45">
        <v>78802.650000000009</v>
      </c>
      <c r="Z81" s="45">
        <v>975662.21</v>
      </c>
      <c r="AA81" s="45">
        <v>15323.29</v>
      </c>
      <c r="AB81" s="45">
        <v>1750.2</v>
      </c>
      <c r="AC81" s="45">
        <v>12456.789999999999</v>
      </c>
      <c r="AD81" s="45">
        <v>1784775.5800000003</v>
      </c>
      <c r="AE81" s="45">
        <v>74211.62</v>
      </c>
      <c r="AG81" s="45">
        <v>12299.999999999998</v>
      </c>
      <c r="AH81" s="45">
        <v>21419.78</v>
      </c>
      <c r="AI81" s="45">
        <v>514799.48000000004</v>
      </c>
      <c r="AJ81" s="45">
        <v>875203.00000000023</v>
      </c>
      <c r="AK81" s="45">
        <v>179539.16999999998</v>
      </c>
      <c r="AN81" s="45">
        <v>459579.41</v>
      </c>
      <c r="AO81" s="45">
        <v>5434.14</v>
      </c>
      <c r="AP81" s="45">
        <v>79543.840000000011</v>
      </c>
      <c r="AQ81" s="45">
        <v>130431.24000000002</v>
      </c>
      <c r="AR81" s="45">
        <v>138958.52000000002</v>
      </c>
      <c r="AS81" s="45">
        <v>7297.75</v>
      </c>
      <c r="AT81" s="45">
        <v>16410</v>
      </c>
      <c r="AU81" s="45">
        <v>46228.24</v>
      </c>
      <c r="AV81" s="45">
        <v>5648.94</v>
      </c>
      <c r="AX81" s="45">
        <v>4462.93</v>
      </c>
      <c r="AY81" s="45">
        <v>19209.240000000002</v>
      </c>
      <c r="AZ81" s="45">
        <v>7264</v>
      </c>
      <c r="BA81" s="45">
        <v>107660.51000000002</v>
      </c>
      <c r="BC81" s="45">
        <v>20024.8</v>
      </c>
      <c r="BD81" s="45">
        <v>7035.5999999999985</v>
      </c>
      <c r="BE81" s="45">
        <v>294.08999999999997</v>
      </c>
      <c r="BF81" s="45">
        <v>1163337.7200000002</v>
      </c>
      <c r="BG81" s="45">
        <v>244207.96</v>
      </c>
      <c r="BH81" s="45">
        <v>95000</v>
      </c>
      <c r="BJ81" s="45">
        <v>45454.55</v>
      </c>
      <c r="BK81" s="45">
        <v>6818.19</v>
      </c>
      <c r="BL81" s="2">
        <f t="shared" si="4"/>
        <v>18576654.430000003</v>
      </c>
      <c r="BN81" s="341">
        <v>8520.7099999999991</v>
      </c>
      <c r="BO81" s="341">
        <v>940702.45</v>
      </c>
      <c r="BP81" s="341">
        <v>1022.1700000000001</v>
      </c>
      <c r="BQ81" s="341"/>
      <c r="BR81" s="341"/>
      <c r="BS81" s="341">
        <v>76175</v>
      </c>
      <c r="BT81" s="341"/>
      <c r="BU81" s="341"/>
      <c r="BV81" s="341"/>
      <c r="BW81" s="341"/>
      <c r="BX81" s="341"/>
      <c r="BY81" s="341">
        <v>38550.65</v>
      </c>
      <c r="BZ81" s="341"/>
      <c r="CA81" s="341"/>
      <c r="CB81" s="347"/>
      <c r="CC81" s="341"/>
      <c r="CD81" s="341"/>
      <c r="CE81" s="341">
        <v>141086</v>
      </c>
      <c r="CF81" s="341">
        <v>1076.5</v>
      </c>
      <c r="CG81" s="341">
        <v>179427.39999999997</v>
      </c>
      <c r="CH81" s="341"/>
      <c r="CI81" s="341"/>
      <c r="CJ81" s="341"/>
      <c r="CK81" s="341"/>
      <c r="CL81" s="341"/>
      <c r="CM81" s="341"/>
      <c r="CN81" s="341"/>
      <c r="CO81" s="341"/>
      <c r="CP81" s="347">
        <v>19078</v>
      </c>
      <c r="CQ81" s="341"/>
      <c r="CR81" s="342">
        <f t="shared" si="3"/>
        <v>1405638.88</v>
      </c>
    </row>
    <row r="82" spans="1:96" x14ac:dyDescent="0.25">
      <c r="A82" s="45" t="s">
        <v>410</v>
      </c>
      <c r="B82" s="45">
        <v>-65185.220000000008</v>
      </c>
      <c r="C82" s="45">
        <v>-5416.57</v>
      </c>
      <c r="D82" s="45">
        <v>188612</v>
      </c>
      <c r="E82" s="45">
        <v>26737.07</v>
      </c>
      <c r="G82" s="45">
        <v>641.33000000000004</v>
      </c>
      <c r="I82" s="45">
        <v>145483.38</v>
      </c>
      <c r="J82" s="45">
        <v>560866.05000000005</v>
      </c>
      <c r="M82" s="45">
        <v>1314.64</v>
      </c>
      <c r="N82" s="45">
        <v>32041.63</v>
      </c>
      <c r="O82" s="45">
        <v>4095825.9999999995</v>
      </c>
      <c r="Q82" s="45">
        <v>363401.51999999996</v>
      </c>
      <c r="R82" s="45">
        <v>1192524.6599999999</v>
      </c>
      <c r="S82" s="45">
        <v>2012991.0599999998</v>
      </c>
      <c r="T82" s="45">
        <v>559439.43000000005</v>
      </c>
      <c r="U82" s="45">
        <v>68782.050000000017</v>
      </c>
      <c r="V82" s="45">
        <v>328339.01</v>
      </c>
      <c r="W82" s="45">
        <v>6968.95</v>
      </c>
      <c r="X82" s="45">
        <v>35280.290000000008</v>
      </c>
      <c r="Y82" s="45">
        <v>173769.94999999998</v>
      </c>
      <c r="Z82" s="45">
        <v>1021640.2799999999</v>
      </c>
      <c r="AA82" s="45">
        <v>34989.920000000006</v>
      </c>
      <c r="AB82" s="45">
        <v>4664.1099999999997</v>
      </c>
      <c r="AC82" s="45">
        <v>14627.529999999999</v>
      </c>
      <c r="AD82" s="45">
        <v>1368327.2200000002</v>
      </c>
      <c r="AE82" s="45">
        <v>226962.61000000002</v>
      </c>
      <c r="AF82" s="45">
        <v>71396.03</v>
      </c>
      <c r="AG82" s="45">
        <v>28000</v>
      </c>
      <c r="AH82" s="45">
        <v>20423.14</v>
      </c>
      <c r="AI82" s="45">
        <v>572690.57000000007</v>
      </c>
      <c r="AJ82" s="45">
        <v>762319.00000000012</v>
      </c>
      <c r="AK82" s="45">
        <v>156382.13999999998</v>
      </c>
      <c r="AN82" s="45">
        <v>412801.18</v>
      </c>
      <c r="AO82" s="45">
        <v>5681.15</v>
      </c>
      <c r="AP82" s="45">
        <v>107616.43</v>
      </c>
      <c r="AQ82" s="45">
        <v>130005.29999999999</v>
      </c>
      <c r="AR82" s="45">
        <v>137653.26999999999</v>
      </c>
      <c r="AS82" s="45">
        <v>7808</v>
      </c>
      <c r="AT82" s="45">
        <v>11220</v>
      </c>
      <c r="AU82" s="45">
        <v>30162.47</v>
      </c>
      <c r="AV82" s="45">
        <v>5792.61</v>
      </c>
      <c r="AX82" s="45">
        <v>25000</v>
      </c>
      <c r="AY82" s="45">
        <v>20647.03</v>
      </c>
      <c r="AZ82" s="45">
        <v>5565</v>
      </c>
      <c r="BA82" s="45">
        <v>46532.24</v>
      </c>
      <c r="BC82" s="45">
        <v>14594.7</v>
      </c>
      <c r="BD82" s="45">
        <v>7767.4699999999993</v>
      </c>
      <c r="BE82" s="45">
        <v>588.17999999999995</v>
      </c>
      <c r="BF82" s="45">
        <v>1136736.7899999998</v>
      </c>
      <c r="BG82" s="45">
        <v>183155.96999999997</v>
      </c>
      <c r="BH82" s="45">
        <v>235000</v>
      </c>
      <c r="BL82" s="2">
        <f t="shared" si="4"/>
        <v>16529167.569999995</v>
      </c>
      <c r="BN82" s="341">
        <v>3116.97</v>
      </c>
      <c r="BO82" s="341">
        <v>1003554.6000000003</v>
      </c>
      <c r="BP82" s="341">
        <v>1173.54</v>
      </c>
      <c r="BQ82" s="341"/>
      <c r="BR82" s="341">
        <v>515000</v>
      </c>
      <c r="BS82" s="341">
        <v>68750</v>
      </c>
      <c r="BT82" s="341"/>
      <c r="BU82" s="341"/>
      <c r="BV82" s="341"/>
      <c r="BW82" s="341"/>
      <c r="BX82" s="341">
        <v>15035</v>
      </c>
      <c r="BY82" s="341">
        <v>50283.46</v>
      </c>
      <c r="BZ82" s="341"/>
      <c r="CA82" s="341"/>
      <c r="CB82" s="347"/>
      <c r="CC82" s="341"/>
      <c r="CD82" s="341"/>
      <c r="CE82" s="341">
        <v>9619.5</v>
      </c>
      <c r="CF82" s="341">
        <v>1076.5</v>
      </c>
      <c r="CG82" s="341"/>
      <c r="CH82" s="341">
        <v>567358</v>
      </c>
      <c r="CI82" s="341">
        <v>151284.6</v>
      </c>
      <c r="CJ82" s="341">
        <v>1871.25</v>
      </c>
      <c r="CK82" s="341"/>
      <c r="CL82" s="341"/>
      <c r="CM82" s="341">
        <v>17972.059999999998</v>
      </c>
      <c r="CN82" s="341"/>
      <c r="CO82" s="341">
        <v>320000</v>
      </c>
      <c r="CP82" s="347">
        <v>16149</v>
      </c>
      <c r="CQ82" s="341"/>
      <c r="CR82" s="342">
        <f t="shared" si="3"/>
        <v>2742244.4800000004</v>
      </c>
    </row>
    <row r="83" spans="1:96" x14ac:dyDescent="0.25">
      <c r="A83" s="45" t="s">
        <v>411</v>
      </c>
      <c r="B83" s="45">
        <v>-86044.530000000013</v>
      </c>
      <c r="C83" s="45">
        <v>-16723.03</v>
      </c>
      <c r="D83" s="45">
        <v>235765.00000000003</v>
      </c>
      <c r="E83" s="45">
        <v>36133.930000000008</v>
      </c>
      <c r="G83" s="45">
        <v>1282.6500000000001</v>
      </c>
      <c r="I83" s="45">
        <v>174580.06</v>
      </c>
      <c r="J83" s="45">
        <v>556161.74</v>
      </c>
      <c r="M83" s="45">
        <v>1009.88</v>
      </c>
      <c r="N83" s="45">
        <v>25391.48</v>
      </c>
      <c r="O83" s="45">
        <v>6576422</v>
      </c>
      <c r="P83" s="45">
        <v>990</v>
      </c>
      <c r="Q83" s="45">
        <v>653954.79</v>
      </c>
      <c r="R83" s="45">
        <v>1846583.9399999997</v>
      </c>
      <c r="S83" s="45">
        <v>3170757.1000000006</v>
      </c>
      <c r="T83" s="45">
        <v>1178895.0100000002</v>
      </c>
      <c r="U83" s="45">
        <v>49961.02</v>
      </c>
      <c r="V83" s="45">
        <v>998171.82000000007</v>
      </c>
      <c r="W83" s="45">
        <v>6229.71</v>
      </c>
      <c r="X83" s="45">
        <v>90772.800000000003</v>
      </c>
      <c r="Y83" s="45">
        <v>64394.200000000004</v>
      </c>
      <c r="Z83" s="45">
        <v>1811981.3100000003</v>
      </c>
      <c r="AA83" s="45">
        <v>63407.32</v>
      </c>
      <c r="AB83" s="45">
        <v>26214.12</v>
      </c>
      <c r="AC83" s="45">
        <v>21978.739999999998</v>
      </c>
      <c r="AD83" s="45">
        <v>1905961.48</v>
      </c>
      <c r="AE83" s="45">
        <v>353284.03</v>
      </c>
      <c r="AG83" s="45">
        <v>12597.029999999999</v>
      </c>
      <c r="AH83" s="45">
        <v>24151.41</v>
      </c>
      <c r="AI83" s="45">
        <v>580509.34</v>
      </c>
      <c r="AJ83" s="45">
        <v>1267034.0000000002</v>
      </c>
      <c r="AK83" s="45">
        <v>259919.38999999998</v>
      </c>
      <c r="AN83" s="45">
        <v>546096.56000000006</v>
      </c>
      <c r="AO83" s="45">
        <v>3705.1</v>
      </c>
      <c r="AP83" s="45">
        <v>72043.19</v>
      </c>
      <c r="AQ83" s="45">
        <v>168201.79999999996</v>
      </c>
      <c r="AR83" s="45">
        <v>180224.38000000003</v>
      </c>
      <c r="AS83" s="45">
        <v>10957.75</v>
      </c>
      <c r="AT83" s="45">
        <v>15607.25</v>
      </c>
      <c r="AU83" s="45">
        <v>56395.78</v>
      </c>
      <c r="AV83" s="45">
        <v>7691.74</v>
      </c>
      <c r="AY83" s="45">
        <v>28218.79</v>
      </c>
      <c r="AZ83" s="45">
        <v>11526</v>
      </c>
      <c r="BA83" s="45">
        <v>184280.09</v>
      </c>
      <c r="BC83" s="45">
        <v>25454.9</v>
      </c>
      <c r="BD83" s="45">
        <v>73934.080000000002</v>
      </c>
      <c r="BE83" s="45">
        <v>1176.3599999999999</v>
      </c>
      <c r="BF83" s="45">
        <v>1384516.4799999997</v>
      </c>
      <c r="BG83" s="45">
        <v>366311.93999999994</v>
      </c>
      <c r="BH83" s="45">
        <v>192000</v>
      </c>
      <c r="BI83" s="45">
        <v>266346.19999999995</v>
      </c>
      <c r="BL83" s="2">
        <f t="shared" si="4"/>
        <v>25486416.130000003</v>
      </c>
      <c r="BN83" s="341">
        <v>18835.900000000001</v>
      </c>
      <c r="BO83" s="341">
        <v>1363800.7900000005</v>
      </c>
      <c r="BP83" s="341">
        <v>853.11</v>
      </c>
      <c r="BQ83" s="341"/>
      <c r="BR83" s="341">
        <v>140000</v>
      </c>
      <c r="BS83" s="341">
        <v>103950</v>
      </c>
      <c r="BT83" s="341"/>
      <c r="BU83" s="341"/>
      <c r="BV83" s="341"/>
      <c r="BW83" s="341"/>
      <c r="BX83" s="341">
        <v>33161</v>
      </c>
      <c r="BY83" s="341">
        <v>48607.35</v>
      </c>
      <c r="BZ83" s="341"/>
      <c r="CA83" s="341"/>
      <c r="CB83" s="347"/>
      <c r="CC83" s="341"/>
      <c r="CD83" s="341"/>
      <c r="CE83" s="341">
        <v>391225.06</v>
      </c>
      <c r="CF83" s="341">
        <v>1076.5</v>
      </c>
      <c r="CG83" s="341"/>
      <c r="CH83" s="341">
        <v>774751.19000000006</v>
      </c>
      <c r="CI83" s="341"/>
      <c r="CJ83" s="341"/>
      <c r="CK83" s="341"/>
      <c r="CL83" s="341"/>
      <c r="CM83" s="341"/>
      <c r="CN83" s="341"/>
      <c r="CO83" s="341"/>
      <c r="CP83" s="347">
        <v>25862</v>
      </c>
      <c r="CQ83" s="341"/>
      <c r="CR83" s="342">
        <f t="shared" si="3"/>
        <v>2902122.9000000004</v>
      </c>
    </row>
    <row r="84" spans="1:96" x14ac:dyDescent="0.25">
      <c r="A84" s="45" t="s">
        <v>412</v>
      </c>
      <c r="B84" s="45">
        <v>-37540.93</v>
      </c>
      <c r="D84" s="45">
        <v>377224</v>
      </c>
      <c r="E84" s="45">
        <v>53359.199999999983</v>
      </c>
      <c r="G84" s="45">
        <v>641.33000000000004</v>
      </c>
      <c r="I84" s="45">
        <v>203676.72999999998</v>
      </c>
      <c r="J84" s="45">
        <v>548647.91</v>
      </c>
      <c r="M84" s="45">
        <v>741.61</v>
      </c>
      <c r="N84" s="45">
        <v>25996.04</v>
      </c>
      <c r="O84" s="45">
        <v>6606788</v>
      </c>
      <c r="P84" s="45">
        <v>110</v>
      </c>
      <c r="Q84" s="45">
        <v>801702.07000000007</v>
      </c>
      <c r="R84" s="45">
        <v>2332283.3800000004</v>
      </c>
      <c r="S84" s="45">
        <v>4228735.1000000006</v>
      </c>
      <c r="T84" s="45">
        <v>1275050.4200000002</v>
      </c>
      <c r="U84" s="45">
        <v>42406.8</v>
      </c>
      <c r="V84" s="45">
        <v>515104.14000000007</v>
      </c>
      <c r="W84" s="45">
        <v>7176.24</v>
      </c>
      <c r="X84" s="45">
        <v>52293.149999999994</v>
      </c>
      <c r="Y84" s="45">
        <v>75442.02</v>
      </c>
      <c r="Z84" s="45">
        <v>904971.18999999983</v>
      </c>
      <c r="AA84" s="45">
        <v>41392.430000000008</v>
      </c>
      <c r="AB84" s="45">
        <v>35790.68</v>
      </c>
      <c r="AC84" s="45">
        <v>25238.18</v>
      </c>
      <c r="AD84" s="45">
        <v>2555445.21</v>
      </c>
      <c r="AE84" s="45">
        <v>257075.16000000003</v>
      </c>
      <c r="AH84" s="45">
        <v>31312.15</v>
      </c>
      <c r="AI84" s="45">
        <v>496807.65000000008</v>
      </c>
      <c r="AJ84" s="45">
        <v>2066583.9999999998</v>
      </c>
      <c r="AK84" s="45">
        <v>423939.1</v>
      </c>
      <c r="AN84" s="45">
        <v>411138.57999999996</v>
      </c>
      <c r="AO84" s="45">
        <v>4940.13</v>
      </c>
      <c r="AP84" s="45">
        <v>107889.81</v>
      </c>
      <c r="AQ84" s="45">
        <v>227154.96000000002</v>
      </c>
      <c r="AR84" s="45">
        <v>171288.46999999997</v>
      </c>
      <c r="AS84" s="45">
        <v>16107.75</v>
      </c>
      <c r="AT84" s="45">
        <v>11679</v>
      </c>
      <c r="AU84" s="45">
        <v>37834.560000000005</v>
      </c>
      <c r="AV84" s="45">
        <v>11660.23</v>
      </c>
      <c r="AY84" s="45">
        <v>38367.360000000001</v>
      </c>
      <c r="AZ84" s="45">
        <v>17872</v>
      </c>
      <c r="BA84" s="45">
        <v>285901.49</v>
      </c>
      <c r="BC84" s="45">
        <v>16474.349999999999</v>
      </c>
      <c r="BD84" s="45">
        <v>50218.98</v>
      </c>
      <c r="BE84" s="45">
        <v>882.27</v>
      </c>
      <c r="BF84" s="45">
        <v>838431.42000000016</v>
      </c>
      <c r="BG84" s="45">
        <v>252597.97999999998</v>
      </c>
      <c r="BH84" s="45">
        <v>200000</v>
      </c>
      <c r="BL84" s="2">
        <f t="shared" si="4"/>
        <v>26648832.299999993</v>
      </c>
      <c r="BN84" s="341">
        <v>2348.0100000000002</v>
      </c>
      <c r="BO84" s="341">
        <v>2066907.6</v>
      </c>
      <c r="BP84" s="341">
        <v>682.74</v>
      </c>
      <c r="BQ84" s="341"/>
      <c r="BR84" s="341"/>
      <c r="BS84" s="341">
        <v>164725</v>
      </c>
      <c r="BT84" s="341"/>
      <c r="BU84" s="341"/>
      <c r="BV84" s="341">
        <v>9715.73</v>
      </c>
      <c r="BW84" s="341"/>
      <c r="BX84" s="341"/>
      <c r="BY84" s="341">
        <v>28493.96</v>
      </c>
      <c r="BZ84" s="341"/>
      <c r="CA84" s="341"/>
      <c r="CB84" s="347"/>
      <c r="CC84" s="341"/>
      <c r="CD84" s="341"/>
      <c r="CE84" s="341">
        <v>859341.99999999977</v>
      </c>
      <c r="CF84" s="341">
        <v>1076.5</v>
      </c>
      <c r="CG84" s="341">
        <v>153089.43</v>
      </c>
      <c r="CH84" s="341"/>
      <c r="CI84" s="341">
        <v>223161.68000000002</v>
      </c>
      <c r="CJ84" s="341">
        <v>1903.73</v>
      </c>
      <c r="CK84" s="341"/>
      <c r="CL84" s="341"/>
      <c r="CM84" s="341"/>
      <c r="CN84" s="341"/>
      <c r="CO84" s="341"/>
      <c r="CP84" s="347">
        <v>26372</v>
      </c>
      <c r="CQ84" s="341"/>
      <c r="CR84" s="342">
        <f t="shared" si="3"/>
        <v>3537818.3800000004</v>
      </c>
    </row>
    <row r="85" spans="1:96" x14ac:dyDescent="0.25">
      <c r="A85" s="45" t="s">
        <v>413</v>
      </c>
      <c r="B85" s="45">
        <v>-180200.36000000002</v>
      </c>
      <c r="C85" s="45">
        <v>-20879.03</v>
      </c>
      <c r="D85" s="45">
        <v>895907</v>
      </c>
      <c r="E85" s="45">
        <v>125216.40999999999</v>
      </c>
      <c r="F85" s="45">
        <v>1926.03</v>
      </c>
      <c r="G85" s="45">
        <v>3206.63</v>
      </c>
      <c r="I85" s="45">
        <v>494643.49000000005</v>
      </c>
      <c r="J85" s="45">
        <v>1125658.5</v>
      </c>
      <c r="M85" s="45">
        <v>2926.45</v>
      </c>
      <c r="N85" s="45">
        <v>55014.879999999997</v>
      </c>
      <c r="O85" s="45">
        <v>19574325</v>
      </c>
      <c r="P85" s="45">
        <v>516.18000000000006</v>
      </c>
      <c r="Q85" s="45">
        <v>2080775.0099999998</v>
      </c>
      <c r="R85" s="45">
        <v>6238829.7899999991</v>
      </c>
      <c r="S85" s="45">
        <v>10445207.6</v>
      </c>
      <c r="T85" s="45">
        <v>4103961.8500000006</v>
      </c>
      <c r="U85" s="45">
        <v>131247.04000000001</v>
      </c>
      <c r="V85" s="45">
        <v>2142209.79</v>
      </c>
      <c r="W85" s="45">
        <v>33084.54</v>
      </c>
      <c r="X85" s="45">
        <v>148834.18000000002</v>
      </c>
      <c r="Y85" s="45">
        <v>105874.21</v>
      </c>
      <c r="Z85" s="45">
        <v>4737949.57</v>
      </c>
      <c r="AA85" s="45">
        <v>123479.83999999998</v>
      </c>
      <c r="AB85" s="45">
        <v>125477.12</v>
      </c>
      <c r="AC85" s="45">
        <v>48138.09</v>
      </c>
      <c r="AD85" s="45">
        <v>5427824.0900000008</v>
      </c>
      <c r="AE85" s="45">
        <v>1038917.29</v>
      </c>
      <c r="AF85" s="45">
        <v>54485.98</v>
      </c>
      <c r="AG85" s="45">
        <v>37202</v>
      </c>
      <c r="AH85" s="45">
        <v>58864.75</v>
      </c>
      <c r="AI85" s="45">
        <v>1794053.7700000003</v>
      </c>
      <c r="AJ85" s="45">
        <v>4209071</v>
      </c>
      <c r="AK85" s="45">
        <v>863448.93</v>
      </c>
      <c r="AN85" s="45">
        <v>1594437.8900000001</v>
      </c>
      <c r="AO85" s="45">
        <v>20995.55</v>
      </c>
      <c r="AP85" s="45">
        <v>245971.81</v>
      </c>
      <c r="AQ85" s="45">
        <v>557177.11</v>
      </c>
      <c r="AR85" s="45">
        <v>504728.66999999993</v>
      </c>
      <c r="AS85" s="45">
        <v>36981.25</v>
      </c>
      <c r="AT85" s="45">
        <v>60185</v>
      </c>
      <c r="AU85" s="45">
        <v>52576.49</v>
      </c>
      <c r="AV85" s="45">
        <v>25932.52</v>
      </c>
      <c r="AX85" s="45">
        <v>3269.15</v>
      </c>
      <c r="AY85" s="45">
        <v>86781.42</v>
      </c>
      <c r="AZ85" s="45">
        <v>23104</v>
      </c>
      <c r="BA85" s="45">
        <v>672934.64000000025</v>
      </c>
      <c r="BB85" s="45">
        <v>115905</v>
      </c>
      <c r="BC85" s="45">
        <v>89780.7</v>
      </c>
      <c r="BD85" s="45">
        <v>323392.54999999993</v>
      </c>
      <c r="BE85" s="45">
        <v>1764.54</v>
      </c>
      <c r="BF85" s="45">
        <v>3881024.9699999997</v>
      </c>
      <c r="BG85" s="45">
        <v>781465.47</v>
      </c>
      <c r="BH85" s="45">
        <v>72000</v>
      </c>
      <c r="BL85" s="2">
        <f t="shared" si="4"/>
        <v>75177606.350000009</v>
      </c>
      <c r="BN85" s="341">
        <v>39976.32</v>
      </c>
      <c r="BO85" s="341">
        <v>4205439.8599999994</v>
      </c>
      <c r="BP85" s="341">
        <v>2758.04</v>
      </c>
      <c r="BQ85" s="341"/>
      <c r="BR85" s="341">
        <v>345000</v>
      </c>
      <c r="BS85" s="341">
        <v>355025</v>
      </c>
      <c r="BT85" s="341"/>
      <c r="BU85" s="341">
        <v>5063.5200000000004</v>
      </c>
      <c r="BV85" s="341">
        <v>17500</v>
      </c>
      <c r="BW85" s="341"/>
      <c r="BX85" s="341"/>
      <c r="BY85" s="341">
        <v>181020.46</v>
      </c>
      <c r="BZ85" s="341"/>
      <c r="CA85" s="341"/>
      <c r="CB85" s="347"/>
      <c r="CC85" s="341"/>
      <c r="CD85" s="341"/>
      <c r="CE85" s="341">
        <v>1270530.78</v>
      </c>
      <c r="CF85" s="341">
        <v>1076.5</v>
      </c>
      <c r="CG85" s="341">
        <v>641987.93000000005</v>
      </c>
      <c r="CH85" s="341"/>
      <c r="CI85" s="341">
        <v>409182.9</v>
      </c>
      <c r="CJ85" s="341">
        <v>63270.28</v>
      </c>
      <c r="CK85" s="341"/>
      <c r="CL85" s="341"/>
      <c r="CM85" s="341"/>
      <c r="CN85" s="341"/>
      <c r="CO85" s="341"/>
      <c r="CP85" s="347">
        <v>77573</v>
      </c>
      <c r="CQ85" s="341"/>
      <c r="CR85" s="342">
        <f t="shared" si="3"/>
        <v>7615404.5899999999</v>
      </c>
    </row>
    <row r="86" spans="1:96" x14ac:dyDescent="0.25">
      <c r="A86" s="45" t="s">
        <v>414</v>
      </c>
      <c r="B86" s="45">
        <v>-115738.58</v>
      </c>
      <c r="C86" s="45">
        <v>-32900.050000000003</v>
      </c>
      <c r="D86" s="45">
        <v>518683.00000000006</v>
      </c>
      <c r="E86" s="45">
        <v>111423.57999999999</v>
      </c>
      <c r="G86" s="45">
        <v>2565.2800000000002</v>
      </c>
      <c r="I86" s="45">
        <v>261870.08000000002</v>
      </c>
      <c r="J86" s="45">
        <v>684173.80999999994</v>
      </c>
      <c r="L86" s="45">
        <v>112</v>
      </c>
      <c r="M86" s="45">
        <v>396.91</v>
      </c>
      <c r="N86" s="45">
        <v>36273.56</v>
      </c>
      <c r="O86" s="45">
        <v>18141700</v>
      </c>
      <c r="P86" s="45">
        <v>108.32</v>
      </c>
      <c r="Q86" s="45">
        <v>2323552.96</v>
      </c>
      <c r="R86" s="45">
        <v>6935934.2400000002</v>
      </c>
      <c r="S86" s="45">
        <v>11644924.480000002</v>
      </c>
      <c r="T86" s="45">
        <v>2178900.7000000002</v>
      </c>
      <c r="U86" s="45">
        <v>78079.81</v>
      </c>
      <c r="V86" s="45">
        <v>1251951.1599999999</v>
      </c>
      <c r="W86" s="45">
        <v>3100.4500000000003</v>
      </c>
      <c r="X86" s="45">
        <v>147164.43</v>
      </c>
      <c r="Y86" s="45">
        <v>51215.819999999985</v>
      </c>
      <c r="Z86" s="45">
        <v>3018289.02</v>
      </c>
      <c r="AA86" s="45">
        <v>116309.32999999999</v>
      </c>
      <c r="AB86" s="45">
        <v>57273.380000000012</v>
      </c>
      <c r="AC86" s="45">
        <v>58975.170000000006</v>
      </c>
      <c r="AD86" s="45">
        <v>8033366.8100000005</v>
      </c>
      <c r="AE86" s="45">
        <v>819068.11999999988</v>
      </c>
      <c r="AH86" s="45">
        <v>53313.63</v>
      </c>
      <c r="AI86" s="45">
        <v>646051.91</v>
      </c>
      <c r="AJ86" s="45">
        <v>3725632</v>
      </c>
      <c r="AK86" s="45">
        <v>764276.24</v>
      </c>
      <c r="AN86" s="45">
        <v>871924.95000000007</v>
      </c>
      <c r="AO86" s="45">
        <v>18525.490000000002</v>
      </c>
      <c r="AP86" s="45">
        <v>214522.13</v>
      </c>
      <c r="AQ86" s="45">
        <v>447937.42</v>
      </c>
      <c r="AR86" s="45">
        <v>428723.17999999993</v>
      </c>
      <c r="AS86" s="45">
        <v>30295.75</v>
      </c>
      <c r="AT86" s="45">
        <v>63805</v>
      </c>
      <c r="AU86" s="45">
        <v>46685.17</v>
      </c>
      <c r="AV86" s="45">
        <v>22216.31</v>
      </c>
      <c r="AY86" s="45">
        <v>50559</v>
      </c>
      <c r="AZ86" s="45">
        <v>16448</v>
      </c>
      <c r="BA86" s="45">
        <v>1359184.28</v>
      </c>
      <c r="BC86" s="45">
        <v>25454.9</v>
      </c>
      <c r="BD86" s="45">
        <v>229741.83</v>
      </c>
      <c r="BF86" s="45">
        <v>1351485.6999999997</v>
      </c>
      <c r="BG86" s="45">
        <v>549467.90999999992</v>
      </c>
      <c r="BH86" s="45">
        <v>86388</v>
      </c>
      <c r="BL86" s="2">
        <f t="shared" si="4"/>
        <v>67329412.590000033</v>
      </c>
      <c r="BN86" s="341">
        <v>10427.65</v>
      </c>
      <c r="BO86" s="341">
        <v>2957066.83</v>
      </c>
      <c r="BP86" s="341">
        <v>1127.48</v>
      </c>
      <c r="BQ86" s="341"/>
      <c r="BR86" s="341"/>
      <c r="BS86" s="341">
        <v>303600</v>
      </c>
      <c r="BT86" s="341"/>
      <c r="BU86" s="341"/>
      <c r="BV86" s="341"/>
      <c r="BW86" s="341"/>
      <c r="BX86" s="341"/>
      <c r="BY86" s="341">
        <v>45255.11</v>
      </c>
      <c r="BZ86" s="341">
        <v>5225</v>
      </c>
      <c r="CA86" s="341">
        <v>10000</v>
      </c>
      <c r="CB86" s="347"/>
      <c r="CC86" s="341"/>
      <c r="CD86" s="341"/>
      <c r="CE86" s="341">
        <v>1521078.01</v>
      </c>
      <c r="CF86" s="341">
        <v>1076.5</v>
      </c>
      <c r="CG86" s="341">
        <v>197534.75000000003</v>
      </c>
      <c r="CH86" s="341"/>
      <c r="CI86" s="341"/>
      <c r="CJ86" s="341"/>
      <c r="CK86" s="341"/>
      <c r="CL86" s="341"/>
      <c r="CM86" s="341"/>
      <c r="CN86" s="341"/>
      <c r="CO86" s="341"/>
      <c r="CP86" s="347">
        <v>72434</v>
      </c>
      <c r="CQ86" s="341"/>
      <c r="CR86" s="342">
        <f t="shared" si="3"/>
        <v>5124825.33</v>
      </c>
    </row>
    <row r="87" spans="1:96" x14ac:dyDescent="0.25">
      <c r="A87" s="88" t="s">
        <v>415</v>
      </c>
      <c r="B87" s="45">
        <f>SUM(B6:B86)</f>
        <v>-9044054.2599999998</v>
      </c>
      <c r="C87" s="45">
        <f t="shared" ref="C87:BK87" si="5">SUM(C6:C86)</f>
        <v>-1517752.8100000005</v>
      </c>
      <c r="D87" s="45">
        <f t="shared" si="5"/>
        <v>30276941</v>
      </c>
      <c r="E87" s="45">
        <f t="shared" si="5"/>
        <v>5385835.9300000025</v>
      </c>
      <c r="F87" s="45">
        <f t="shared" si="5"/>
        <v>214840.85999999993</v>
      </c>
      <c r="G87" s="45">
        <f t="shared" si="5"/>
        <v>129548.00000000006</v>
      </c>
      <c r="H87" s="45">
        <f t="shared" si="5"/>
        <v>36653.75</v>
      </c>
      <c r="I87" s="45">
        <f t="shared" si="5"/>
        <v>19960319.649999987</v>
      </c>
      <c r="J87" s="45">
        <f t="shared" si="5"/>
        <v>56458077.00000003</v>
      </c>
      <c r="K87" s="45">
        <f t="shared" si="5"/>
        <v>319807.30000000005</v>
      </c>
      <c r="L87" s="45">
        <f t="shared" si="5"/>
        <v>5080</v>
      </c>
      <c r="M87" s="45">
        <f t="shared" si="5"/>
        <v>153136.00000000003</v>
      </c>
      <c r="N87" s="45">
        <f t="shared" si="5"/>
        <v>2996195</v>
      </c>
      <c r="O87" s="45">
        <f t="shared" si="5"/>
        <v>773889034</v>
      </c>
      <c r="P87" s="45">
        <f t="shared" si="5"/>
        <v>19369.170000000002</v>
      </c>
      <c r="Q87" s="45">
        <f t="shared" si="5"/>
        <v>82980544.49999997</v>
      </c>
      <c r="R87" s="45">
        <f t="shared" si="5"/>
        <v>247434031.11999997</v>
      </c>
      <c r="S87" s="45">
        <f t="shared" si="5"/>
        <v>433853516.85000014</v>
      </c>
      <c r="T87" s="45">
        <f t="shared" si="5"/>
        <v>137667879.59</v>
      </c>
      <c r="U87" s="45">
        <f t="shared" si="5"/>
        <v>6468963.5199999996</v>
      </c>
      <c r="V87" s="45">
        <f t="shared" si="5"/>
        <v>95914004.729999989</v>
      </c>
      <c r="W87" s="45">
        <f t="shared" si="5"/>
        <v>1170176.1699999997</v>
      </c>
      <c r="X87" s="45">
        <f t="shared" si="5"/>
        <v>7507120.620000001</v>
      </c>
      <c r="Y87" s="45">
        <f t="shared" si="5"/>
        <v>8176568.1500000041</v>
      </c>
      <c r="Z87" s="45">
        <f t="shared" si="5"/>
        <v>150697513.32000002</v>
      </c>
      <c r="AA87" s="45">
        <f t="shared" si="5"/>
        <v>4809760.46</v>
      </c>
      <c r="AB87" s="45">
        <f t="shared" si="5"/>
        <v>3371031.84</v>
      </c>
      <c r="AC87" s="45">
        <f t="shared" si="5"/>
        <v>2682689.2099999995</v>
      </c>
      <c r="AD87" s="45">
        <f t="shared" si="5"/>
        <v>232745761.52000004</v>
      </c>
      <c r="AE87" s="45">
        <f t="shared" si="5"/>
        <v>40882251.979999989</v>
      </c>
      <c r="AF87" s="45">
        <f t="shared" si="5"/>
        <v>930268.55</v>
      </c>
      <c r="AG87" s="45">
        <f t="shared" si="5"/>
        <v>961776.47</v>
      </c>
      <c r="AH87" s="45">
        <f t="shared" si="5"/>
        <v>2901647.09</v>
      </c>
      <c r="AI87" s="45">
        <f t="shared" si="5"/>
        <v>76970688.379999965</v>
      </c>
      <c r="AJ87" s="45">
        <f t="shared" si="5"/>
        <v>175047049</v>
      </c>
      <c r="AK87" s="45">
        <f t="shared" si="5"/>
        <v>35909156.169999987</v>
      </c>
      <c r="AL87" s="45">
        <f t="shared" si="5"/>
        <v>26303.75</v>
      </c>
      <c r="AM87" s="45">
        <f t="shared" si="5"/>
        <v>-1151.5899999999999</v>
      </c>
      <c r="AN87" s="45">
        <f t="shared" si="5"/>
        <v>62830253.709999986</v>
      </c>
      <c r="AO87" s="45">
        <f t="shared" si="5"/>
        <v>840069.12000000034</v>
      </c>
      <c r="AP87" s="45">
        <f t="shared" si="5"/>
        <v>11405566.83</v>
      </c>
      <c r="AQ87" s="45">
        <f t="shared" si="5"/>
        <v>23543476.100000005</v>
      </c>
      <c r="AR87" s="45">
        <f t="shared" si="5"/>
        <v>18753550.630000003</v>
      </c>
      <c r="AS87" s="45">
        <f t="shared" si="5"/>
        <v>1444302.75</v>
      </c>
      <c r="AT87" s="45">
        <f t="shared" si="5"/>
        <v>2205453</v>
      </c>
      <c r="AU87" s="45">
        <f t="shared" si="5"/>
        <v>3028921.4600000009</v>
      </c>
      <c r="AV87" s="45">
        <f t="shared" si="5"/>
        <v>1074276.75</v>
      </c>
      <c r="AW87" s="45">
        <f t="shared" si="5"/>
        <v>2400000</v>
      </c>
      <c r="AX87" s="45">
        <f t="shared" si="5"/>
        <v>2411803.09</v>
      </c>
      <c r="AY87" s="45">
        <f t="shared" si="5"/>
        <v>3090312.56</v>
      </c>
      <c r="AZ87" s="45">
        <f t="shared" si="5"/>
        <v>1130381.3</v>
      </c>
      <c r="BA87" s="45">
        <f t="shared" si="5"/>
        <v>32132611.149999995</v>
      </c>
      <c r="BB87" s="45">
        <f t="shared" si="5"/>
        <v>932566</v>
      </c>
      <c r="BC87" s="45">
        <f t="shared" si="5"/>
        <v>2944778.75</v>
      </c>
      <c r="BD87" s="45">
        <f t="shared" si="5"/>
        <v>14656688.529999997</v>
      </c>
      <c r="BE87" s="45">
        <f t="shared" si="5"/>
        <v>84697.819999999934</v>
      </c>
      <c r="BF87" s="45">
        <f t="shared" si="5"/>
        <v>155549181.00999993</v>
      </c>
      <c r="BG87" s="45">
        <f t="shared" si="5"/>
        <v>38107476.329999998</v>
      </c>
      <c r="BH87" s="45">
        <f t="shared" si="5"/>
        <v>14403069</v>
      </c>
      <c r="BI87" s="45">
        <f>SUM(BI6:BI86)</f>
        <v>3303927.1400000006</v>
      </c>
      <c r="BJ87" s="45">
        <f t="shared" si="5"/>
        <v>272727.26</v>
      </c>
      <c r="BK87" s="45">
        <f t="shared" si="5"/>
        <v>40909.07</v>
      </c>
      <c r="BL87" s="91">
        <f>SUM(BL6:BL86)</f>
        <v>3024977581.3500009</v>
      </c>
      <c r="BN87" s="341">
        <f t="shared" ref="BN87:CB87" si="6">SUM(BN6:BN86)</f>
        <v>932224.7100000002</v>
      </c>
      <c r="BO87" s="341">
        <f t="shared" si="6"/>
        <v>184948982.72000006</v>
      </c>
      <c r="BP87" s="341">
        <f t="shared" si="6"/>
        <v>125444.80999999995</v>
      </c>
      <c r="BQ87" s="341">
        <f t="shared" si="6"/>
        <v>0</v>
      </c>
      <c r="BR87" s="341">
        <f t="shared" si="6"/>
        <v>16277589.4</v>
      </c>
      <c r="BS87" s="341">
        <f t="shared" si="6"/>
        <v>14717925</v>
      </c>
      <c r="BT87" s="341">
        <f t="shared" si="6"/>
        <v>249500</v>
      </c>
      <c r="BU87" s="341">
        <f t="shared" si="6"/>
        <v>113207.94000000002</v>
      </c>
      <c r="BV87" s="341">
        <f t="shared" si="6"/>
        <v>206989.89</v>
      </c>
      <c r="BW87" s="341">
        <f t="shared" si="6"/>
        <v>400002</v>
      </c>
      <c r="BX87" s="341">
        <f t="shared" si="6"/>
        <v>584537</v>
      </c>
      <c r="BY87" s="341">
        <f t="shared" si="6"/>
        <v>6659206.3499999987</v>
      </c>
      <c r="BZ87" s="341">
        <f t="shared" si="6"/>
        <v>61675</v>
      </c>
      <c r="CA87" s="341">
        <f t="shared" si="6"/>
        <v>100000</v>
      </c>
      <c r="CB87" s="347">
        <f t="shared" si="6"/>
        <v>0</v>
      </c>
      <c r="CC87" s="341"/>
      <c r="CD87" s="341">
        <f>SUM(CD6:CD86)</f>
        <v>13076461.040000001</v>
      </c>
      <c r="CE87" s="341">
        <f>SUM(CE6:CE86)</f>
        <v>43949113.259999998</v>
      </c>
      <c r="CF87" s="341">
        <f t="shared" ref="CF87:CP87" si="7">SUM(CF6:CF86)</f>
        <v>150710</v>
      </c>
      <c r="CG87" s="341">
        <f t="shared" si="7"/>
        <v>12901488.270000001</v>
      </c>
      <c r="CH87" s="341">
        <f t="shared" si="7"/>
        <v>31173721.369999997</v>
      </c>
      <c r="CI87" s="341">
        <f t="shared" si="7"/>
        <v>14315913.440000001</v>
      </c>
      <c r="CJ87" s="341">
        <f t="shared" si="7"/>
        <v>485556.28</v>
      </c>
      <c r="CK87" s="341">
        <f t="shared" si="7"/>
        <v>37036.800000000003</v>
      </c>
      <c r="CL87" s="341">
        <f t="shared" si="7"/>
        <v>39043.57</v>
      </c>
      <c r="CM87" s="341">
        <f t="shared" si="7"/>
        <v>566034.79</v>
      </c>
      <c r="CN87" s="341">
        <f t="shared" si="7"/>
        <v>120000</v>
      </c>
      <c r="CO87" s="341">
        <f t="shared" si="7"/>
        <v>4646000</v>
      </c>
      <c r="CP87" s="347">
        <f t="shared" si="7"/>
        <v>3078480</v>
      </c>
      <c r="CQ87" s="341"/>
      <c r="CR87" s="344">
        <f>SUM(CR6:CR86)</f>
        <v>349916843.64000005</v>
      </c>
    </row>
    <row r="88" spans="1:96" x14ac:dyDescent="0.25">
      <c r="BL88" s="2"/>
      <c r="BN88" s="341"/>
      <c r="BO88" s="341"/>
      <c r="BP88" s="341"/>
      <c r="BQ88" s="341"/>
      <c r="BR88" s="341"/>
      <c r="BS88" s="341"/>
      <c r="BT88" s="341"/>
      <c r="BU88" s="341"/>
      <c r="BV88" s="341"/>
      <c r="BW88" s="341"/>
      <c r="BX88" s="341"/>
      <c r="BY88" s="341"/>
      <c r="BZ88" s="341"/>
      <c r="CA88" s="341"/>
      <c r="CB88" s="347"/>
      <c r="CC88" s="341"/>
      <c r="CD88" s="341"/>
      <c r="CE88" s="341"/>
      <c r="CF88" s="341"/>
      <c r="CG88" s="341"/>
      <c r="CH88" s="341"/>
      <c r="CI88" s="341"/>
      <c r="CJ88" s="341"/>
      <c r="CK88" s="341"/>
      <c r="CL88" s="341"/>
      <c r="CM88" s="341"/>
      <c r="CN88" s="341"/>
      <c r="CO88" s="341"/>
      <c r="CP88" s="347"/>
      <c r="CQ88" s="341"/>
      <c r="CR88" s="342"/>
    </row>
    <row r="89" spans="1:96" x14ac:dyDescent="0.25">
      <c r="A89" s="341" t="s">
        <v>626</v>
      </c>
      <c r="B89" s="341"/>
      <c r="C89" s="341"/>
      <c r="D89" s="341"/>
      <c r="E89" s="341"/>
      <c r="F89" s="341"/>
      <c r="G89" s="341"/>
      <c r="H89" s="341"/>
      <c r="I89" s="341"/>
      <c r="J89" s="341"/>
      <c r="K89" s="341"/>
      <c r="L89" s="341"/>
      <c r="M89" s="341"/>
      <c r="N89" s="341"/>
      <c r="O89" s="341"/>
      <c r="P89" s="341"/>
      <c r="Q89" s="341"/>
      <c r="R89" s="341"/>
      <c r="S89" s="341"/>
      <c r="T89" s="341"/>
      <c r="U89" s="341"/>
      <c r="V89" s="341"/>
      <c r="W89" s="341"/>
      <c r="X89" s="341"/>
      <c r="Y89" s="341"/>
      <c r="Z89" s="341"/>
      <c r="AA89" s="341"/>
      <c r="AB89" s="341"/>
      <c r="AC89" s="341"/>
      <c r="AD89" s="341"/>
      <c r="AE89" s="341"/>
      <c r="AF89" s="341"/>
      <c r="AG89" s="341"/>
      <c r="AH89" s="341"/>
      <c r="AI89" s="341"/>
      <c r="AJ89" s="341"/>
      <c r="AK89" s="341"/>
      <c r="AL89" s="341"/>
      <c r="AM89" s="341"/>
      <c r="AN89" s="341"/>
      <c r="AO89" s="341"/>
      <c r="AP89" s="341"/>
      <c r="AQ89" s="341"/>
      <c r="AR89" s="341"/>
      <c r="AS89" s="341"/>
      <c r="AT89" s="341"/>
      <c r="AU89" s="341"/>
      <c r="AV89" s="341"/>
      <c r="AW89" s="341"/>
      <c r="AX89" s="341"/>
      <c r="AY89" s="341"/>
      <c r="AZ89" s="341"/>
      <c r="BA89" s="341"/>
      <c r="BB89" s="341"/>
      <c r="BC89" s="341"/>
      <c r="BD89" s="341"/>
      <c r="BE89" s="341"/>
      <c r="BF89" s="341"/>
      <c r="BG89" s="341"/>
      <c r="BH89" s="341"/>
      <c r="BI89" s="341"/>
      <c r="BJ89" s="341"/>
      <c r="BK89" s="341"/>
      <c r="BL89" s="342"/>
      <c r="BN89" s="341"/>
      <c r="BO89" s="341"/>
      <c r="BP89" s="341"/>
      <c r="BQ89" s="341"/>
      <c r="BR89" s="341"/>
      <c r="BS89" s="341"/>
      <c r="BT89" s="341"/>
      <c r="BU89" s="341"/>
      <c r="BV89" s="341"/>
      <c r="BW89" s="341"/>
      <c r="BX89" s="341"/>
      <c r="BY89" s="341"/>
      <c r="BZ89" s="341"/>
      <c r="CA89" s="341"/>
      <c r="CB89" s="347"/>
      <c r="CC89" s="341"/>
      <c r="CD89" s="341"/>
      <c r="CE89" s="341"/>
      <c r="CF89" s="341"/>
      <c r="CG89" s="341"/>
      <c r="CH89" s="341"/>
      <c r="CI89" s="341"/>
      <c r="CJ89" s="341"/>
      <c r="CK89" s="341"/>
      <c r="CL89" s="341"/>
      <c r="CM89" s="341"/>
      <c r="CN89" s="341"/>
      <c r="CO89" s="341"/>
      <c r="CP89" s="347"/>
      <c r="CQ89" s="341"/>
      <c r="CR89" s="342"/>
    </row>
    <row r="90" spans="1:96" x14ac:dyDescent="0.25">
      <c r="A90" s="341" t="s">
        <v>416</v>
      </c>
      <c r="B90" s="341">
        <v>-164794.90999999997</v>
      </c>
      <c r="C90" s="341">
        <v>-18735.349999999999</v>
      </c>
      <c r="D90" s="341">
        <v>612989</v>
      </c>
      <c r="E90" s="341">
        <v>121759.75000000003</v>
      </c>
      <c r="F90" s="341"/>
      <c r="G90" s="341"/>
      <c r="H90" s="341"/>
      <c r="I90" s="341">
        <v>581933.52</v>
      </c>
      <c r="J90" s="341"/>
      <c r="K90" s="341"/>
      <c r="L90" s="341"/>
      <c r="M90" s="341"/>
      <c r="N90" s="341"/>
      <c r="O90" s="341">
        <v>20451278</v>
      </c>
      <c r="P90" s="341">
        <v>165</v>
      </c>
      <c r="Q90" s="341"/>
      <c r="R90" s="341"/>
      <c r="S90" s="341"/>
      <c r="T90" s="341"/>
      <c r="U90" s="341"/>
      <c r="V90" s="341"/>
      <c r="W90" s="341"/>
      <c r="X90" s="341"/>
      <c r="Y90" s="341"/>
      <c r="Z90" s="341"/>
      <c r="AA90" s="341"/>
      <c r="AB90" s="341"/>
      <c r="AC90" s="341"/>
      <c r="AD90" s="341"/>
      <c r="AE90" s="341"/>
      <c r="AF90" s="341"/>
      <c r="AG90" s="341">
        <v>10140.32</v>
      </c>
      <c r="AH90" s="341">
        <v>71189.11</v>
      </c>
      <c r="AI90" s="341">
        <v>1597189.9900000002</v>
      </c>
      <c r="AJ90" s="341">
        <v>3060320</v>
      </c>
      <c r="AK90" s="341">
        <v>627794.12000000011</v>
      </c>
      <c r="AL90" s="341"/>
      <c r="AM90" s="341"/>
      <c r="AN90" s="341"/>
      <c r="AO90" s="341">
        <v>21983.58</v>
      </c>
      <c r="AP90" s="341">
        <v>295669.14</v>
      </c>
      <c r="AQ90" s="341">
        <v>554283.90999999992</v>
      </c>
      <c r="AR90" s="341">
        <v>156328.34000000003</v>
      </c>
      <c r="AS90" s="341">
        <v>65292</v>
      </c>
      <c r="AT90" s="341">
        <v>81760</v>
      </c>
      <c r="AU90" s="341"/>
      <c r="AV90" s="341">
        <v>31689.25</v>
      </c>
      <c r="AW90" s="341"/>
      <c r="AX90" s="341">
        <v>29783.72</v>
      </c>
      <c r="AY90" s="341">
        <v>58653.35</v>
      </c>
      <c r="AZ90" s="341">
        <v>34869.4</v>
      </c>
      <c r="BA90" s="341"/>
      <c r="BB90" s="341"/>
      <c r="BC90" s="341">
        <v>15221.25</v>
      </c>
      <c r="BD90" s="341"/>
      <c r="BE90" s="341">
        <v>294.08999999999997</v>
      </c>
      <c r="BF90" s="341"/>
      <c r="BG90" s="341">
        <v>897486.79</v>
      </c>
      <c r="BH90" s="341">
        <v>356431</v>
      </c>
      <c r="BI90" s="341"/>
      <c r="BJ90" s="341"/>
      <c r="BK90" s="341"/>
      <c r="BL90" s="342">
        <f>SUM(B90:BK90)</f>
        <v>29550974.369999997</v>
      </c>
      <c r="BN90" s="341"/>
      <c r="BO90" s="341">
        <v>976984.52</v>
      </c>
      <c r="BP90" s="341">
        <v>878.49</v>
      </c>
      <c r="BQ90" s="341">
        <v>64302083.639999986</v>
      </c>
      <c r="BR90" s="341">
        <v>1000000</v>
      </c>
      <c r="BS90" s="341"/>
      <c r="BT90" s="341"/>
      <c r="BU90" s="341"/>
      <c r="BV90" s="341"/>
      <c r="BW90" s="341"/>
      <c r="BX90" s="341"/>
      <c r="BY90" s="341">
        <v>98890.76</v>
      </c>
      <c r="BZ90" s="341">
        <v>321750</v>
      </c>
      <c r="CA90" s="341"/>
      <c r="CB90" s="347">
        <v>80227886.700000003</v>
      </c>
      <c r="CC90" s="341"/>
      <c r="CD90" s="341"/>
      <c r="CE90" s="341">
        <v>374231.75999999995</v>
      </c>
      <c r="CF90" s="341">
        <v>1076.5</v>
      </c>
      <c r="CG90" s="341">
        <v>450214.60999999987</v>
      </c>
      <c r="CH90" s="341"/>
      <c r="CI90" s="341"/>
      <c r="CJ90" s="341"/>
      <c r="CK90" s="341"/>
      <c r="CL90" s="341"/>
      <c r="CM90" s="341"/>
      <c r="CN90" s="341"/>
      <c r="CO90" s="341"/>
      <c r="CP90" s="347">
        <v>80322</v>
      </c>
      <c r="CQ90" s="341"/>
      <c r="CR90" s="342">
        <f>SUM(B90:CP90)</f>
        <v>206936267.72</v>
      </c>
    </row>
    <row r="91" spans="1:96" x14ac:dyDescent="0.25">
      <c r="A91" s="341" t="s">
        <v>417</v>
      </c>
      <c r="B91" s="341"/>
      <c r="C91" s="341"/>
      <c r="D91" s="341">
        <v>377224</v>
      </c>
      <c r="E91" s="341">
        <v>14453.73</v>
      </c>
      <c r="F91" s="341"/>
      <c r="G91" s="341"/>
      <c r="H91" s="341"/>
      <c r="I91" s="341">
        <v>174580.06</v>
      </c>
      <c r="J91" s="341"/>
      <c r="K91" s="341"/>
      <c r="L91" s="341"/>
      <c r="M91" s="341"/>
      <c r="N91" s="341"/>
      <c r="O91" s="341">
        <v>9110925.0000000019</v>
      </c>
      <c r="P91" s="341"/>
      <c r="Q91" s="341"/>
      <c r="R91" s="341"/>
      <c r="S91" s="341"/>
      <c r="T91" s="341"/>
      <c r="U91" s="341"/>
      <c r="V91" s="341"/>
      <c r="W91" s="341"/>
      <c r="X91" s="341"/>
      <c r="Y91" s="341"/>
      <c r="Z91" s="341"/>
      <c r="AA91" s="341"/>
      <c r="AB91" s="341"/>
      <c r="AC91" s="341"/>
      <c r="AD91" s="341"/>
      <c r="AE91" s="341"/>
      <c r="AF91" s="341"/>
      <c r="AG91" s="341"/>
      <c r="AH91" s="341">
        <v>16697.73</v>
      </c>
      <c r="AI91" s="341">
        <v>859829.20000000007</v>
      </c>
      <c r="AJ91" s="341">
        <v>1118705.0000000002</v>
      </c>
      <c r="AK91" s="341">
        <v>229491.16999999998</v>
      </c>
      <c r="AL91" s="341"/>
      <c r="AM91" s="341"/>
      <c r="AN91" s="341"/>
      <c r="AO91" s="341">
        <v>10127.27</v>
      </c>
      <c r="AP91" s="341">
        <v>119764.39999999998</v>
      </c>
      <c r="AQ91" s="341">
        <v>256853.46999999997</v>
      </c>
      <c r="AR91" s="341">
        <v>295889.28000000003</v>
      </c>
      <c r="AS91" s="341">
        <v>24682.5</v>
      </c>
      <c r="AT91" s="341"/>
      <c r="AU91" s="341"/>
      <c r="AV91" s="341">
        <v>15837.13</v>
      </c>
      <c r="AW91" s="341"/>
      <c r="AX91" s="341">
        <v>20265.55</v>
      </c>
      <c r="AY91" s="341">
        <v>36553</v>
      </c>
      <c r="AZ91" s="341">
        <v>5155</v>
      </c>
      <c r="BA91" s="341"/>
      <c r="BB91" s="341"/>
      <c r="BC91" s="341">
        <v>10000</v>
      </c>
      <c r="BD91" s="341"/>
      <c r="BE91" s="341">
        <v>294.08999999999997</v>
      </c>
      <c r="BF91" s="341"/>
      <c r="BG91" s="341">
        <v>400692.87999999995</v>
      </c>
      <c r="BH91" s="341">
        <v>240500</v>
      </c>
      <c r="BI91" s="341"/>
      <c r="BJ91" s="341"/>
      <c r="BK91" s="341"/>
      <c r="BL91" s="342">
        <f>SUM(B91:BK91)</f>
        <v>13338520.460000005</v>
      </c>
      <c r="BN91" s="341"/>
      <c r="BO91" s="341">
        <v>495026.38999999996</v>
      </c>
      <c r="BP91" s="341">
        <v>363.73</v>
      </c>
      <c r="BQ91" s="341">
        <v>29177083.780000005</v>
      </c>
      <c r="BR91" s="341">
        <v>1225000</v>
      </c>
      <c r="BS91" s="341"/>
      <c r="BT91" s="341"/>
      <c r="BU91" s="341"/>
      <c r="BV91" s="341">
        <v>15000</v>
      </c>
      <c r="BW91" s="341"/>
      <c r="BX91" s="341">
        <v>18000</v>
      </c>
      <c r="BY91" s="341">
        <v>36874.54</v>
      </c>
      <c r="BZ91" s="341">
        <v>112750</v>
      </c>
      <c r="CA91" s="341"/>
      <c r="CB91" s="347">
        <v>30012882.879999999</v>
      </c>
      <c r="CC91" s="341"/>
      <c r="CD91" s="341"/>
      <c r="CE91" s="341">
        <v>229517.42999999996</v>
      </c>
      <c r="CF91" s="341">
        <v>1076.5</v>
      </c>
      <c r="CG91" s="341">
        <v>162143.12</v>
      </c>
      <c r="CH91" s="341"/>
      <c r="CI91" s="341"/>
      <c r="CJ91" s="341"/>
      <c r="CK91" s="341"/>
      <c r="CL91" s="341"/>
      <c r="CM91" s="341"/>
      <c r="CN91" s="341"/>
      <c r="CO91" s="341"/>
      <c r="CP91" s="347">
        <v>36446</v>
      </c>
      <c r="CQ91" s="341"/>
      <c r="CR91" s="342">
        <f>SUM(B91:CP91)</f>
        <v>88199205.290000021</v>
      </c>
    </row>
    <row r="92" spans="1:96" x14ac:dyDescent="0.25">
      <c r="A92" s="343" t="s">
        <v>418</v>
      </c>
      <c r="B92" s="341">
        <f>SUM(B90:B91)</f>
        <v>-164794.90999999997</v>
      </c>
      <c r="C92" s="341">
        <f t="shared" ref="C92:BK92" si="8">SUM(C90:C91)</f>
        <v>-18735.349999999999</v>
      </c>
      <c r="D92" s="341">
        <f t="shared" si="8"/>
        <v>990213</v>
      </c>
      <c r="E92" s="341">
        <f t="shared" si="8"/>
        <v>136213.48000000004</v>
      </c>
      <c r="F92" s="341">
        <f t="shared" si="8"/>
        <v>0</v>
      </c>
      <c r="G92" s="341">
        <f t="shared" si="8"/>
        <v>0</v>
      </c>
      <c r="H92" s="341">
        <f t="shared" si="8"/>
        <v>0</v>
      </c>
      <c r="I92" s="341">
        <f t="shared" si="8"/>
        <v>756513.58000000007</v>
      </c>
      <c r="J92" s="341">
        <f t="shared" si="8"/>
        <v>0</v>
      </c>
      <c r="K92" s="341">
        <f t="shared" si="8"/>
        <v>0</v>
      </c>
      <c r="L92" s="341">
        <f t="shared" si="8"/>
        <v>0</v>
      </c>
      <c r="M92" s="341">
        <f t="shared" si="8"/>
        <v>0</v>
      </c>
      <c r="N92" s="341">
        <f t="shared" si="8"/>
        <v>0</v>
      </c>
      <c r="O92" s="341">
        <f t="shared" si="8"/>
        <v>29562203</v>
      </c>
      <c r="P92" s="341">
        <f t="shared" si="8"/>
        <v>165</v>
      </c>
      <c r="Q92" s="341">
        <f t="shared" si="8"/>
        <v>0</v>
      </c>
      <c r="R92" s="341">
        <f t="shared" si="8"/>
        <v>0</v>
      </c>
      <c r="S92" s="341">
        <f t="shared" si="8"/>
        <v>0</v>
      </c>
      <c r="T92" s="341">
        <f t="shared" si="8"/>
        <v>0</v>
      </c>
      <c r="U92" s="341">
        <f t="shared" si="8"/>
        <v>0</v>
      </c>
      <c r="V92" s="341">
        <f t="shared" si="8"/>
        <v>0</v>
      </c>
      <c r="W92" s="341">
        <f t="shared" si="8"/>
        <v>0</v>
      </c>
      <c r="X92" s="341">
        <f t="shared" si="8"/>
        <v>0</v>
      </c>
      <c r="Y92" s="341">
        <f t="shared" si="8"/>
        <v>0</v>
      </c>
      <c r="Z92" s="341">
        <f t="shared" si="8"/>
        <v>0</v>
      </c>
      <c r="AA92" s="341">
        <f t="shared" si="8"/>
        <v>0</v>
      </c>
      <c r="AB92" s="341">
        <f t="shared" si="8"/>
        <v>0</v>
      </c>
      <c r="AC92" s="341">
        <f t="shared" si="8"/>
        <v>0</v>
      </c>
      <c r="AD92" s="341">
        <f t="shared" si="8"/>
        <v>0</v>
      </c>
      <c r="AE92" s="341">
        <f t="shared" si="8"/>
        <v>0</v>
      </c>
      <c r="AF92" s="341">
        <f t="shared" si="8"/>
        <v>0</v>
      </c>
      <c r="AG92" s="341">
        <f t="shared" si="8"/>
        <v>10140.32</v>
      </c>
      <c r="AH92" s="341">
        <f t="shared" si="8"/>
        <v>87886.84</v>
      </c>
      <c r="AI92" s="341">
        <f t="shared" si="8"/>
        <v>2457019.1900000004</v>
      </c>
      <c r="AJ92" s="341">
        <f t="shared" si="8"/>
        <v>4179025</v>
      </c>
      <c r="AK92" s="341">
        <f t="shared" si="8"/>
        <v>857285.29</v>
      </c>
      <c r="AL92" s="341">
        <f t="shared" si="8"/>
        <v>0</v>
      </c>
      <c r="AM92" s="341">
        <f t="shared" si="8"/>
        <v>0</v>
      </c>
      <c r="AN92" s="341">
        <f t="shared" si="8"/>
        <v>0</v>
      </c>
      <c r="AO92" s="341">
        <f t="shared" si="8"/>
        <v>32110.850000000002</v>
      </c>
      <c r="AP92" s="341">
        <f t="shared" si="8"/>
        <v>415433.54</v>
      </c>
      <c r="AQ92" s="341">
        <f t="shared" si="8"/>
        <v>811137.37999999989</v>
      </c>
      <c r="AR92" s="341">
        <f t="shared" si="8"/>
        <v>452217.62000000005</v>
      </c>
      <c r="AS92" s="341">
        <f t="shared" si="8"/>
        <v>89974.5</v>
      </c>
      <c r="AT92" s="341">
        <f t="shared" si="8"/>
        <v>81760</v>
      </c>
      <c r="AU92" s="341">
        <f t="shared" si="8"/>
        <v>0</v>
      </c>
      <c r="AV92" s="341">
        <f t="shared" si="8"/>
        <v>47526.38</v>
      </c>
      <c r="AW92" s="341">
        <f t="shared" si="8"/>
        <v>0</v>
      </c>
      <c r="AX92" s="341">
        <f t="shared" si="8"/>
        <v>50049.270000000004</v>
      </c>
      <c r="AY92" s="341">
        <f t="shared" si="8"/>
        <v>95206.35</v>
      </c>
      <c r="AZ92" s="341">
        <f t="shared" si="8"/>
        <v>40024.400000000001</v>
      </c>
      <c r="BA92" s="341">
        <f t="shared" si="8"/>
        <v>0</v>
      </c>
      <c r="BB92" s="341">
        <f t="shared" si="8"/>
        <v>0</v>
      </c>
      <c r="BC92" s="341">
        <f t="shared" si="8"/>
        <v>25221.25</v>
      </c>
      <c r="BD92" s="341">
        <f t="shared" si="8"/>
        <v>0</v>
      </c>
      <c r="BE92" s="341">
        <f t="shared" si="8"/>
        <v>588.17999999999995</v>
      </c>
      <c r="BF92" s="341">
        <f t="shared" si="8"/>
        <v>0</v>
      </c>
      <c r="BG92" s="341">
        <f t="shared" si="8"/>
        <v>1298179.67</v>
      </c>
      <c r="BH92" s="341">
        <f t="shared" si="8"/>
        <v>596931</v>
      </c>
      <c r="BI92" s="341">
        <f>SUM(BI90:BI91)</f>
        <v>0</v>
      </c>
      <c r="BJ92" s="341">
        <f t="shared" si="8"/>
        <v>0</v>
      </c>
      <c r="BK92" s="341">
        <f t="shared" si="8"/>
        <v>0</v>
      </c>
      <c r="BL92" s="344">
        <f>SUM(BL90:BL91)</f>
        <v>42889494.829999998</v>
      </c>
      <c r="BN92" s="341">
        <f t="shared" ref="BN92:CB92" si="9">SUM(BN90:BN91)</f>
        <v>0</v>
      </c>
      <c r="BO92" s="341">
        <f t="shared" si="9"/>
        <v>1472010.91</v>
      </c>
      <c r="BP92" s="341">
        <f t="shared" si="9"/>
        <v>1242.22</v>
      </c>
      <c r="BQ92" s="341">
        <f t="shared" si="9"/>
        <v>93479167.419999987</v>
      </c>
      <c r="BR92" s="341">
        <f t="shared" si="9"/>
        <v>2225000</v>
      </c>
      <c r="BS92" s="341">
        <f t="shared" si="9"/>
        <v>0</v>
      </c>
      <c r="BT92" s="341">
        <f t="shared" si="9"/>
        <v>0</v>
      </c>
      <c r="BU92" s="341">
        <f t="shared" si="9"/>
        <v>0</v>
      </c>
      <c r="BV92" s="341">
        <f t="shared" si="9"/>
        <v>15000</v>
      </c>
      <c r="BW92" s="341">
        <f t="shared" si="9"/>
        <v>0</v>
      </c>
      <c r="BX92" s="341">
        <f t="shared" si="9"/>
        <v>18000</v>
      </c>
      <c r="BY92" s="341">
        <f t="shared" si="9"/>
        <v>135765.29999999999</v>
      </c>
      <c r="BZ92" s="341">
        <f t="shared" si="9"/>
        <v>434500</v>
      </c>
      <c r="CA92" s="341">
        <f t="shared" si="9"/>
        <v>0</v>
      </c>
      <c r="CB92" s="347">
        <f t="shared" si="9"/>
        <v>110240769.58</v>
      </c>
      <c r="CC92" s="341"/>
      <c r="CD92" s="341">
        <f>SUM(CD90:CD91)</f>
        <v>0</v>
      </c>
      <c r="CE92" s="341">
        <f t="shared" ref="CE92:CP92" si="10">SUM(CE90:CE91)</f>
        <v>603749.18999999994</v>
      </c>
      <c r="CF92" s="341">
        <f t="shared" si="10"/>
        <v>2153</v>
      </c>
      <c r="CG92" s="341">
        <f t="shared" si="10"/>
        <v>612357.72999999986</v>
      </c>
      <c r="CH92" s="341">
        <f t="shared" si="10"/>
        <v>0</v>
      </c>
      <c r="CI92" s="341">
        <f t="shared" si="10"/>
        <v>0</v>
      </c>
      <c r="CJ92" s="341">
        <f t="shared" si="10"/>
        <v>0</v>
      </c>
      <c r="CK92" s="341">
        <f t="shared" si="10"/>
        <v>0</v>
      </c>
      <c r="CL92" s="341">
        <f t="shared" si="10"/>
        <v>0</v>
      </c>
      <c r="CM92" s="341">
        <f t="shared" si="10"/>
        <v>0</v>
      </c>
      <c r="CN92" s="341">
        <f t="shared" si="10"/>
        <v>0</v>
      </c>
      <c r="CO92" s="341">
        <f t="shared" si="10"/>
        <v>0</v>
      </c>
      <c r="CP92" s="347">
        <f t="shared" si="10"/>
        <v>116768</v>
      </c>
      <c r="CQ92" s="341"/>
      <c r="CR92" s="344">
        <f>SUM(CR90:CR91)</f>
        <v>295135473.00999999</v>
      </c>
    </row>
  </sheetData>
  <pageMargins left="0.25" right="0.25" top="0.75" bottom="0.75" header="0.3" footer="0.3"/>
  <pageSetup paperSize="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0"/>
  <dimension ref="A1:CR92"/>
  <sheetViews>
    <sheetView zoomScale="87" zoomScaleNormal="87" workbookViewId="0">
      <pane xSplit="1" ySplit="4" topLeftCell="B5" activePane="bottomRight" state="frozen"/>
      <selection pane="topRight" activeCell="B1" sqref="B1"/>
      <selection pane="bottomLeft" activeCell="A3" sqref="A3"/>
      <selection pane="bottomRight" activeCell="BM5" sqref="BG4:BM5"/>
    </sheetView>
  </sheetViews>
  <sheetFormatPr defaultColWidth="17.42578125" defaultRowHeight="15" x14ac:dyDescent="0.25"/>
  <cols>
    <col min="1" max="1" width="26.140625" style="45" bestFit="1" customWidth="1"/>
    <col min="2" max="2" width="24.140625" style="45" bestFit="1" customWidth="1"/>
    <col min="3" max="3" width="25.85546875" style="45" bestFit="1" customWidth="1"/>
    <col min="4" max="4" width="29.140625" style="45" bestFit="1" customWidth="1"/>
    <col min="5" max="5" width="29.5703125" style="45" bestFit="1" customWidth="1"/>
    <col min="6" max="6" width="24.7109375" style="45" bestFit="1" customWidth="1"/>
    <col min="7" max="7" width="29.28515625" style="45" bestFit="1" customWidth="1"/>
    <col min="8" max="8" width="21.85546875" style="45" bestFit="1" customWidth="1"/>
    <col min="9" max="9" width="16.42578125" style="45" bestFit="1" customWidth="1"/>
    <col min="10" max="10" width="24.85546875" style="45" bestFit="1" customWidth="1"/>
    <col min="11" max="11" width="20" style="45" bestFit="1" customWidth="1"/>
    <col min="12" max="12" width="23.42578125" style="45" bestFit="1" customWidth="1"/>
    <col min="13" max="13" width="23.5703125" style="45" bestFit="1" customWidth="1"/>
    <col min="14" max="14" width="17.28515625" style="45" bestFit="1" customWidth="1"/>
    <col min="15" max="15" width="19.5703125" style="45" bestFit="1" customWidth="1"/>
    <col min="16" max="16" width="24.28515625" style="45" bestFit="1" customWidth="1"/>
    <col min="17" max="17" width="15.28515625" style="45" bestFit="1" customWidth="1"/>
    <col min="18" max="18" width="17.28515625" style="45" bestFit="1" customWidth="1"/>
    <col min="19" max="19" width="15.140625" style="45" bestFit="1" customWidth="1"/>
    <col min="20" max="20" width="16" style="45" bestFit="1" customWidth="1"/>
    <col min="21" max="21" width="15.5703125" style="45" bestFit="1" customWidth="1"/>
    <col min="22" max="22" width="15.7109375" style="45" bestFit="1" customWidth="1"/>
    <col min="23" max="23" width="22.7109375" style="45" bestFit="1" customWidth="1"/>
    <col min="24" max="24" width="19.42578125" style="45" bestFit="1" customWidth="1"/>
    <col min="25" max="25" width="20.5703125" style="45" bestFit="1" customWidth="1"/>
    <col min="26" max="26" width="23.28515625" style="45" bestFit="1" customWidth="1"/>
    <col min="27" max="27" width="26.85546875" style="45" bestFit="1" customWidth="1"/>
    <col min="28" max="28" width="31.5703125" style="45" bestFit="1" customWidth="1"/>
    <col min="29" max="29" width="32.7109375" style="45" bestFit="1" customWidth="1"/>
    <col min="30" max="30" width="27.28515625" style="45" bestFit="1" customWidth="1"/>
    <col min="31" max="31" width="15.5703125" style="45" bestFit="1" customWidth="1"/>
    <col min="32" max="32" width="21.5703125" style="45" bestFit="1" customWidth="1"/>
    <col min="33" max="33" width="26.42578125" style="45" bestFit="1" customWidth="1"/>
    <col min="34" max="34" width="12.85546875" style="45" bestFit="1" customWidth="1"/>
    <col min="35" max="35" width="30.42578125" style="45" bestFit="1" customWidth="1"/>
    <col min="36" max="36" width="20.7109375" style="45" bestFit="1" customWidth="1"/>
    <col min="37" max="37" width="37.7109375" style="45" bestFit="1" customWidth="1"/>
    <col min="38" max="38" width="32.85546875" style="45" bestFit="1" customWidth="1"/>
    <col min="39" max="39" width="34" style="45" bestFit="1" customWidth="1"/>
    <col min="40" max="40" width="21.85546875" style="45" bestFit="1" customWidth="1"/>
    <col min="41" max="41" width="41.7109375" style="45" bestFit="1" customWidth="1"/>
    <col min="42" max="42" width="28.7109375" style="45" bestFit="1" customWidth="1"/>
    <col min="43" max="43" width="30.5703125" style="45" bestFit="1" customWidth="1"/>
    <col min="44" max="44" width="28.140625" style="45" bestFit="1" customWidth="1"/>
    <col min="45" max="45" width="27.85546875" style="45" bestFit="1" customWidth="1"/>
    <col min="46" max="46" width="29.140625" style="45" bestFit="1" customWidth="1"/>
    <col min="47" max="47" width="16.5703125" style="45" bestFit="1" customWidth="1"/>
    <col min="48" max="48" width="26" style="45" bestFit="1" customWidth="1"/>
    <col min="49" max="49" width="31.5703125" style="45" bestFit="1" customWidth="1"/>
    <col min="50" max="50" width="35" style="45" bestFit="1" customWidth="1"/>
    <col min="51" max="51" width="22.85546875" style="45" bestFit="1" customWidth="1"/>
    <col min="52" max="52" width="17.5703125" style="45" bestFit="1" customWidth="1"/>
    <col min="53" max="53" width="28.42578125" style="45" bestFit="1" customWidth="1"/>
    <col min="54" max="54" width="29.140625" style="45" bestFit="1" customWidth="1"/>
    <col min="55" max="55" width="25" style="45" bestFit="1" customWidth="1"/>
    <col min="56" max="56" width="26.42578125" style="45" bestFit="1" customWidth="1"/>
    <col min="57" max="57" width="16.85546875" style="45" bestFit="1" customWidth="1"/>
    <col min="58" max="58" width="17.42578125" style="45"/>
    <col min="59" max="59" width="34.140625" style="45" bestFit="1" customWidth="1"/>
    <col min="60" max="60" width="24.140625" style="45" bestFit="1" customWidth="1"/>
    <col min="61" max="61" width="23.140625" style="45" bestFit="1" customWidth="1"/>
    <col min="62" max="62" width="21.42578125" style="45" bestFit="1" customWidth="1"/>
    <col min="63" max="63" width="25" style="45" bestFit="1" customWidth="1"/>
    <col min="64" max="64" width="27.28515625" style="45" bestFit="1" customWidth="1"/>
    <col min="65" max="65" width="31.5703125" style="45" bestFit="1" customWidth="1"/>
    <col min="66" max="66" width="27.28515625" style="45" bestFit="1" customWidth="1"/>
    <col min="67" max="67" width="24" style="45" bestFit="1" customWidth="1"/>
    <col min="68" max="68" width="17.85546875" style="45" bestFit="1" customWidth="1"/>
    <col min="69" max="69" width="23.140625" style="45" bestFit="1" customWidth="1"/>
    <col min="70" max="70" width="31" style="45" bestFit="1" customWidth="1"/>
    <col min="71" max="71" width="21.85546875" style="45" bestFit="1" customWidth="1"/>
    <col min="72" max="72" width="19.7109375" style="45" bestFit="1" customWidth="1"/>
    <col min="73" max="73" width="25.28515625" style="45" bestFit="1" customWidth="1"/>
    <col min="74" max="74" width="31" style="45" bestFit="1" customWidth="1"/>
    <col min="75" max="75" width="37.140625" style="45" bestFit="1" customWidth="1"/>
    <col min="76" max="76" width="35" style="45" bestFit="1" customWidth="1"/>
    <col min="77" max="77" width="30.7109375" style="45" bestFit="1" customWidth="1"/>
    <col min="78" max="78" width="20.85546875" style="45" bestFit="1" customWidth="1"/>
    <col min="79" max="79" width="30.28515625" style="45" bestFit="1" customWidth="1"/>
    <col min="80" max="80" width="26.42578125" style="45" customWidth="1"/>
    <col min="81" max="84" width="17.42578125" style="45"/>
    <col min="85" max="85" width="30.7109375" style="45" bestFit="1" customWidth="1"/>
    <col min="86" max="86" width="17.42578125" style="45"/>
    <col min="87" max="87" width="22.42578125" style="45" bestFit="1" customWidth="1"/>
    <col min="88" max="88" width="21.5703125" style="45" bestFit="1" customWidth="1"/>
    <col min="89" max="89" width="24" style="45" bestFit="1" customWidth="1"/>
    <col min="90" max="90" width="27" style="45" bestFit="1" customWidth="1"/>
    <col min="91" max="91" width="29.28515625" style="45" bestFit="1" customWidth="1"/>
    <col min="92" max="92" width="32.140625" style="45" bestFit="1" customWidth="1"/>
    <col min="93" max="93" width="34.85546875" style="45" bestFit="1" customWidth="1"/>
    <col min="94" max="94" width="29.42578125" style="45" bestFit="1" customWidth="1"/>
    <col min="95" max="95" width="5.140625" style="45" customWidth="1"/>
    <col min="96" max="96" width="21.7109375" style="45" bestFit="1" customWidth="1"/>
    <col min="97" max="16384" width="17.42578125" style="45"/>
  </cols>
  <sheetData>
    <row r="1" spans="1:96" ht="15.75" x14ac:dyDescent="0.25">
      <c r="B1" s="87" t="s">
        <v>627</v>
      </c>
      <c r="C1" s="343" t="s">
        <v>626</v>
      </c>
      <c r="BB1" s="92"/>
      <c r="BE1" s="2"/>
      <c r="BN1" s="92" t="s">
        <v>558</v>
      </c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</row>
    <row r="2" spans="1:96" x14ac:dyDescent="0.25">
      <c r="A2" s="88" t="s">
        <v>229</v>
      </c>
      <c r="BE2" s="2"/>
      <c r="BG2" s="623" t="s">
        <v>709</v>
      </c>
      <c r="BN2" s="45" t="s">
        <v>240</v>
      </c>
      <c r="BO2" s="45" t="s">
        <v>240</v>
      </c>
      <c r="BP2" s="45" t="s">
        <v>240</v>
      </c>
      <c r="BQ2" s="45" t="s">
        <v>240</v>
      </c>
      <c r="BR2" s="45" t="s">
        <v>240</v>
      </c>
      <c r="BS2" s="45" t="s">
        <v>240</v>
      </c>
      <c r="BT2" s="45" t="s">
        <v>240</v>
      </c>
      <c r="BU2" s="45" t="s">
        <v>240</v>
      </c>
      <c r="BV2" s="45" t="s">
        <v>240</v>
      </c>
      <c r="BW2" s="45" t="s">
        <v>240</v>
      </c>
      <c r="BX2" s="45" t="s">
        <v>240</v>
      </c>
      <c r="BY2" s="45" t="s">
        <v>240</v>
      </c>
      <c r="BZ2" s="45" t="s">
        <v>240</v>
      </c>
      <c r="CA2" s="45" t="s">
        <v>240</v>
      </c>
      <c r="CB2" s="45" t="s">
        <v>240</v>
      </c>
    </row>
    <row r="3" spans="1:96" x14ac:dyDescent="0.25">
      <c r="A3" s="88" t="s">
        <v>241</v>
      </c>
      <c r="B3" s="45" t="s">
        <v>146</v>
      </c>
      <c r="C3" s="45" t="s">
        <v>146</v>
      </c>
      <c r="D3" s="45" t="s">
        <v>242</v>
      </c>
      <c r="E3" s="45" t="s">
        <v>243</v>
      </c>
      <c r="F3" s="45" t="s">
        <v>245</v>
      </c>
      <c r="G3" s="45" t="s">
        <v>243</v>
      </c>
      <c r="H3" s="45" t="s">
        <v>146</v>
      </c>
      <c r="I3" s="45" t="s">
        <v>245</v>
      </c>
      <c r="J3" s="45" t="s">
        <v>246</v>
      </c>
      <c r="K3" s="45" t="s">
        <v>246</v>
      </c>
      <c r="L3" s="45" t="s">
        <v>246</v>
      </c>
      <c r="M3" s="45" t="s">
        <v>246</v>
      </c>
      <c r="N3" s="45" t="s">
        <v>246</v>
      </c>
      <c r="O3" s="45" t="s">
        <v>246</v>
      </c>
      <c r="P3" s="45" t="s">
        <v>246</v>
      </c>
      <c r="Q3" s="45" t="s">
        <v>246</v>
      </c>
      <c r="R3" s="45" t="s">
        <v>246</v>
      </c>
      <c r="S3" s="45" t="s">
        <v>246</v>
      </c>
      <c r="T3" s="45" t="s">
        <v>246</v>
      </c>
      <c r="U3" s="45" t="s">
        <v>246</v>
      </c>
      <c r="V3" s="45" t="s">
        <v>246</v>
      </c>
      <c r="W3" s="45" t="s">
        <v>246</v>
      </c>
      <c r="X3" s="45" t="s">
        <v>246</v>
      </c>
      <c r="Y3" s="45" t="s">
        <v>246</v>
      </c>
      <c r="Z3" s="45" t="s">
        <v>247</v>
      </c>
      <c r="AA3" s="45" t="s">
        <v>247</v>
      </c>
      <c r="AB3" s="45" t="s">
        <v>247</v>
      </c>
      <c r="AC3" s="45" t="s">
        <v>247</v>
      </c>
      <c r="AD3" s="45" t="s">
        <v>247</v>
      </c>
      <c r="AE3" s="45" t="s">
        <v>247</v>
      </c>
      <c r="AF3" s="45" t="s">
        <v>246</v>
      </c>
      <c r="AG3" s="45" t="s">
        <v>246</v>
      </c>
      <c r="AH3" s="45" t="s">
        <v>247</v>
      </c>
      <c r="AI3" s="45" t="s">
        <v>247</v>
      </c>
      <c r="AJ3" s="45" t="s">
        <v>247</v>
      </c>
      <c r="AK3" s="45" t="s">
        <v>247</v>
      </c>
      <c r="AL3" s="45" t="s">
        <v>247</v>
      </c>
      <c r="AM3" s="45" t="s">
        <v>247</v>
      </c>
      <c r="AN3" s="45" t="s">
        <v>246</v>
      </c>
      <c r="AO3" s="45" t="s">
        <v>245</v>
      </c>
      <c r="AP3" s="45" t="s">
        <v>247</v>
      </c>
      <c r="AQ3" s="45" t="s">
        <v>247</v>
      </c>
      <c r="AR3" s="45" t="s">
        <v>247</v>
      </c>
      <c r="AS3" s="45" t="s">
        <v>247</v>
      </c>
      <c r="AT3" s="45" t="s">
        <v>246</v>
      </c>
      <c r="AU3" s="45" t="s">
        <v>247</v>
      </c>
      <c r="AV3" s="45" t="s">
        <v>247</v>
      </c>
      <c r="AW3" s="45" t="s">
        <v>246</v>
      </c>
      <c r="AX3" s="45" t="s">
        <v>245</v>
      </c>
      <c r="AY3" s="45" t="s">
        <v>246</v>
      </c>
      <c r="AZ3" s="45" t="s">
        <v>248</v>
      </c>
      <c r="BA3" s="45" t="s">
        <v>249</v>
      </c>
      <c r="BB3" s="45" t="s">
        <v>245</v>
      </c>
      <c r="BC3" s="45" t="s">
        <v>245</v>
      </c>
      <c r="BD3" s="45" t="s">
        <v>245</v>
      </c>
      <c r="BE3" s="2" t="s">
        <v>91</v>
      </c>
      <c r="BG3" s="623" t="s">
        <v>244</v>
      </c>
      <c r="BH3" s="623" t="s">
        <v>244</v>
      </c>
      <c r="BI3" s="623" t="s">
        <v>244</v>
      </c>
      <c r="BJ3" s="623" t="s">
        <v>244</v>
      </c>
      <c r="BK3" s="623" t="s">
        <v>244</v>
      </c>
      <c r="BL3" s="623" t="s">
        <v>244</v>
      </c>
      <c r="BM3" s="623" t="s">
        <v>244</v>
      </c>
      <c r="BN3" s="45" t="s">
        <v>250</v>
      </c>
    </row>
    <row r="4" spans="1:96" s="88" customFormat="1" ht="15.75" x14ac:dyDescent="0.25">
      <c r="A4" s="88" t="s">
        <v>251</v>
      </c>
      <c r="B4" s="89" t="s">
        <v>252</v>
      </c>
      <c r="C4" s="89" t="s">
        <v>253</v>
      </c>
      <c r="D4" s="89" t="s">
        <v>254</v>
      </c>
      <c r="E4" s="89" t="s">
        <v>255</v>
      </c>
      <c r="F4" s="89" t="s">
        <v>258</v>
      </c>
      <c r="G4" s="89" t="s">
        <v>259</v>
      </c>
      <c r="H4" s="89" t="s">
        <v>265</v>
      </c>
      <c r="I4" s="89" t="s">
        <v>266</v>
      </c>
      <c r="J4" s="89" t="s">
        <v>267</v>
      </c>
      <c r="K4" s="89" t="s">
        <v>268</v>
      </c>
      <c r="L4" s="89" t="s">
        <v>269</v>
      </c>
      <c r="M4" s="89" t="s">
        <v>270</v>
      </c>
      <c r="N4" s="89" t="s">
        <v>271</v>
      </c>
      <c r="O4" s="89" t="s">
        <v>272</v>
      </c>
      <c r="P4" s="89" t="s">
        <v>273</v>
      </c>
      <c r="Q4" s="89" t="s">
        <v>274</v>
      </c>
      <c r="R4" s="89" t="s">
        <v>275</v>
      </c>
      <c r="S4" s="89" t="s">
        <v>276</v>
      </c>
      <c r="T4" s="89" t="s">
        <v>277</v>
      </c>
      <c r="U4" s="89" t="s">
        <v>278</v>
      </c>
      <c r="V4" s="89" t="s">
        <v>279</v>
      </c>
      <c r="W4" s="89" t="s">
        <v>280</v>
      </c>
      <c r="X4" s="89" t="s">
        <v>281</v>
      </c>
      <c r="Y4" s="89" t="s">
        <v>282</v>
      </c>
      <c r="Z4" s="89" t="s">
        <v>283</v>
      </c>
      <c r="AA4" s="89" t="s">
        <v>284</v>
      </c>
      <c r="AB4" s="89" t="s">
        <v>285</v>
      </c>
      <c r="AC4" s="89" t="s">
        <v>286</v>
      </c>
      <c r="AD4" s="89" t="s">
        <v>287</v>
      </c>
      <c r="AE4" s="89" t="s">
        <v>288</v>
      </c>
      <c r="AF4" s="89" t="s">
        <v>289</v>
      </c>
      <c r="AG4" s="89" t="s">
        <v>290</v>
      </c>
      <c r="AH4" s="89" t="s">
        <v>291</v>
      </c>
      <c r="AI4" s="89" t="s">
        <v>292</v>
      </c>
      <c r="AJ4" s="89" t="s">
        <v>293</v>
      </c>
      <c r="AK4" s="89" t="s">
        <v>294</v>
      </c>
      <c r="AL4" s="89" t="s">
        <v>295</v>
      </c>
      <c r="AM4" s="89" t="s">
        <v>296</v>
      </c>
      <c r="AN4" s="89" t="s">
        <v>297</v>
      </c>
      <c r="AO4" s="89" t="s">
        <v>298</v>
      </c>
      <c r="AP4" s="89" t="s">
        <v>299</v>
      </c>
      <c r="AQ4" s="89" t="s">
        <v>300</v>
      </c>
      <c r="AR4" s="89" t="s">
        <v>301</v>
      </c>
      <c r="AS4" s="89" t="s">
        <v>302</v>
      </c>
      <c r="AT4" s="89" t="s">
        <v>303</v>
      </c>
      <c r="AU4" s="89" t="s">
        <v>304</v>
      </c>
      <c r="AV4" s="89" t="s">
        <v>305</v>
      </c>
      <c r="AW4" s="89" t="s">
        <v>306</v>
      </c>
      <c r="AX4" s="89" t="s">
        <v>307</v>
      </c>
      <c r="AY4" s="89" t="s">
        <v>308</v>
      </c>
      <c r="AZ4" s="89" t="s">
        <v>248</v>
      </c>
      <c r="BA4" s="89" t="s">
        <v>309</v>
      </c>
      <c r="BB4" s="89" t="s">
        <v>321</v>
      </c>
      <c r="BC4" s="89" t="s">
        <v>310</v>
      </c>
      <c r="BD4" s="89" t="s">
        <v>311</v>
      </c>
      <c r="BE4" s="90" t="s">
        <v>312</v>
      </c>
      <c r="BG4" s="343" t="s">
        <v>256</v>
      </c>
      <c r="BH4" s="343" t="s">
        <v>257</v>
      </c>
      <c r="BI4" s="343" t="s">
        <v>260</v>
      </c>
      <c r="BJ4" s="343" t="s">
        <v>261</v>
      </c>
      <c r="BK4" s="343" t="s">
        <v>262</v>
      </c>
      <c r="BL4" s="343" t="s">
        <v>263</v>
      </c>
      <c r="BM4" s="343" t="s">
        <v>264</v>
      </c>
      <c r="BN4" s="343" t="s">
        <v>313</v>
      </c>
      <c r="BO4" s="343" t="s">
        <v>314</v>
      </c>
      <c r="BP4" s="343" t="s">
        <v>315</v>
      </c>
      <c r="BQ4" s="343" t="s">
        <v>316</v>
      </c>
      <c r="BR4" s="343" t="s">
        <v>317</v>
      </c>
      <c r="BS4" s="343" t="s">
        <v>318</v>
      </c>
      <c r="BT4" s="343" t="s">
        <v>319</v>
      </c>
      <c r="BU4" s="343" t="s">
        <v>320</v>
      </c>
      <c r="BV4" s="343" t="s">
        <v>322</v>
      </c>
      <c r="BW4" s="343" t="s">
        <v>323</v>
      </c>
      <c r="BX4" s="343" t="s">
        <v>324</v>
      </c>
      <c r="BY4" s="343" t="s">
        <v>325</v>
      </c>
      <c r="BZ4" s="343" t="s">
        <v>326</v>
      </c>
      <c r="CA4" s="343" t="s">
        <v>327</v>
      </c>
      <c r="CB4" s="345" t="s">
        <v>328</v>
      </c>
      <c r="CC4" s="343"/>
      <c r="CD4" s="343" t="s">
        <v>329</v>
      </c>
      <c r="CE4" s="343" t="s">
        <v>330</v>
      </c>
      <c r="CF4" s="343" t="s">
        <v>331</v>
      </c>
      <c r="CG4" s="343" t="s">
        <v>332</v>
      </c>
      <c r="CH4" s="343" t="s">
        <v>333</v>
      </c>
      <c r="CI4" s="343" t="s">
        <v>334</v>
      </c>
      <c r="CJ4" s="343" t="s">
        <v>335</v>
      </c>
      <c r="CK4" s="343" t="s">
        <v>336</v>
      </c>
      <c r="CL4" s="343" t="s">
        <v>337</v>
      </c>
      <c r="CM4" s="343" t="s">
        <v>338</v>
      </c>
      <c r="CN4" s="343" t="s">
        <v>339</v>
      </c>
      <c r="CO4" s="343" t="s">
        <v>340</v>
      </c>
      <c r="CP4" s="345" t="s">
        <v>341</v>
      </c>
      <c r="CQ4" s="343"/>
      <c r="CR4" s="346" t="s">
        <v>342</v>
      </c>
    </row>
    <row r="5" spans="1:96" ht="15.75" x14ac:dyDescent="0.25">
      <c r="A5" s="794" t="s">
        <v>715</v>
      </c>
      <c r="B5" s="794" t="s">
        <v>716</v>
      </c>
      <c r="C5" s="794" t="s">
        <v>717</v>
      </c>
      <c r="D5" s="794" t="s">
        <v>718</v>
      </c>
      <c r="E5" s="794" t="s">
        <v>719</v>
      </c>
      <c r="F5" s="794" t="s">
        <v>720</v>
      </c>
      <c r="G5" s="794" t="s">
        <v>721</v>
      </c>
      <c r="H5" s="794" t="s">
        <v>722</v>
      </c>
      <c r="I5" s="794" t="s">
        <v>723</v>
      </c>
      <c r="J5" s="794" t="s">
        <v>724</v>
      </c>
      <c r="K5" s="794" t="s">
        <v>725</v>
      </c>
      <c r="L5" s="794" t="s">
        <v>726</v>
      </c>
      <c r="M5" s="794" t="s">
        <v>727</v>
      </c>
      <c r="N5" s="794" t="s">
        <v>728</v>
      </c>
      <c r="O5" s="794" t="s">
        <v>729</v>
      </c>
      <c r="P5" s="794" t="s">
        <v>730</v>
      </c>
      <c r="Q5" s="794" t="s">
        <v>731</v>
      </c>
      <c r="R5" s="794" t="s">
        <v>732</v>
      </c>
      <c r="S5" s="794" t="s">
        <v>733</v>
      </c>
      <c r="T5" s="794" t="s">
        <v>734</v>
      </c>
      <c r="U5" s="794" t="s">
        <v>735</v>
      </c>
      <c r="V5" s="794" t="s">
        <v>736</v>
      </c>
      <c r="W5" s="794" t="s">
        <v>737</v>
      </c>
      <c r="X5" s="794" t="s">
        <v>738</v>
      </c>
      <c r="Y5" s="794" t="s">
        <v>739</v>
      </c>
      <c r="Z5" s="794" t="s">
        <v>740</v>
      </c>
      <c r="AA5" s="794" t="s">
        <v>741</v>
      </c>
      <c r="AB5" s="794" t="s">
        <v>742</v>
      </c>
      <c r="AC5" s="794" t="s">
        <v>743</v>
      </c>
      <c r="AD5" s="794" t="s">
        <v>744</v>
      </c>
      <c r="AE5" s="794" t="s">
        <v>745</v>
      </c>
      <c r="AF5" s="794" t="s">
        <v>746</v>
      </c>
      <c r="AG5" s="794" t="s">
        <v>747</v>
      </c>
      <c r="AH5" s="794" t="s">
        <v>748</v>
      </c>
      <c r="AI5" s="794" t="s">
        <v>749</v>
      </c>
      <c r="AJ5" s="794" t="s">
        <v>750</v>
      </c>
      <c r="AK5" s="794" t="s">
        <v>751</v>
      </c>
      <c r="AL5" s="794" t="s">
        <v>752</v>
      </c>
      <c r="AM5" s="794" t="s">
        <v>753</v>
      </c>
      <c r="AN5" s="794" t="s">
        <v>754</v>
      </c>
      <c r="AO5" s="794" t="s">
        <v>755</v>
      </c>
      <c r="AP5" s="794" t="s">
        <v>756</v>
      </c>
      <c r="AQ5" s="794" t="s">
        <v>757</v>
      </c>
      <c r="AR5" s="794" t="s">
        <v>758</v>
      </c>
      <c r="AS5" s="794" t="s">
        <v>759</v>
      </c>
      <c r="AT5" s="794" t="s">
        <v>760</v>
      </c>
      <c r="AU5" s="794" t="s">
        <v>761</v>
      </c>
      <c r="AV5" s="794" t="s">
        <v>762</v>
      </c>
      <c r="AW5" s="794" t="s">
        <v>763</v>
      </c>
      <c r="AX5" s="794" t="s">
        <v>764</v>
      </c>
      <c r="AY5" s="794" t="s">
        <v>765</v>
      </c>
      <c r="AZ5" s="794" t="s">
        <v>766</v>
      </c>
      <c r="BA5" s="794" t="s">
        <v>767</v>
      </c>
      <c r="BB5" s="794" t="s">
        <v>768</v>
      </c>
      <c r="BC5" s="794" t="s">
        <v>769</v>
      </c>
      <c r="BD5" s="794" t="s">
        <v>770</v>
      </c>
      <c r="BE5" s="794" t="s">
        <v>771</v>
      </c>
      <c r="BF5" s="794"/>
      <c r="BG5" s="796" t="s">
        <v>772</v>
      </c>
      <c r="BH5" s="796" t="s">
        <v>773</v>
      </c>
      <c r="BI5" s="796" t="s">
        <v>774</v>
      </c>
      <c r="BJ5" s="796" t="s">
        <v>775</v>
      </c>
      <c r="BK5" s="796" t="s">
        <v>776</v>
      </c>
      <c r="BL5" s="796" t="s">
        <v>777</v>
      </c>
      <c r="BM5" s="802" t="s">
        <v>778</v>
      </c>
      <c r="BN5" s="796" t="s">
        <v>779</v>
      </c>
      <c r="BO5" s="796" t="s">
        <v>780</v>
      </c>
      <c r="BP5" s="796" t="s">
        <v>781</v>
      </c>
      <c r="BQ5" s="796" t="s">
        <v>782</v>
      </c>
      <c r="BR5" s="796" t="s">
        <v>783</v>
      </c>
      <c r="BS5" s="796" t="s">
        <v>784</v>
      </c>
      <c r="BT5" s="796" t="s">
        <v>785</v>
      </c>
      <c r="BU5" s="796" t="s">
        <v>786</v>
      </c>
      <c r="BV5" s="796" t="s">
        <v>787</v>
      </c>
      <c r="BW5" s="796" t="s">
        <v>788</v>
      </c>
      <c r="BX5" s="796" t="s">
        <v>789</v>
      </c>
      <c r="BY5" s="796" t="s">
        <v>790</v>
      </c>
      <c r="BZ5" s="796" t="s">
        <v>791</v>
      </c>
      <c r="CA5" s="796" t="s">
        <v>792</v>
      </c>
      <c r="CB5" s="797" t="s">
        <v>793</v>
      </c>
      <c r="CC5" s="800"/>
      <c r="CD5" s="796" t="s">
        <v>794</v>
      </c>
      <c r="CE5" s="796" t="s">
        <v>795</v>
      </c>
      <c r="CF5" s="796" t="s">
        <v>796</v>
      </c>
      <c r="CG5" s="796" t="s">
        <v>797</v>
      </c>
      <c r="CH5" s="796" t="s">
        <v>798</v>
      </c>
      <c r="CI5" s="796" t="s">
        <v>798</v>
      </c>
      <c r="CJ5" s="796" t="s">
        <v>799</v>
      </c>
      <c r="CK5" s="796" t="s">
        <v>800</v>
      </c>
      <c r="CL5" s="796" t="s">
        <v>801</v>
      </c>
      <c r="CM5" s="796" t="s">
        <v>802</v>
      </c>
      <c r="CN5" s="796" t="s">
        <v>803</v>
      </c>
      <c r="CO5" s="796" t="s">
        <v>804</v>
      </c>
      <c r="CP5" s="796" t="s">
        <v>805</v>
      </c>
      <c r="CQ5" s="801"/>
      <c r="CR5" s="799" t="s">
        <v>807</v>
      </c>
    </row>
    <row r="6" spans="1:96" x14ac:dyDescent="0.25">
      <c r="A6" s="45" t="s">
        <v>343</v>
      </c>
      <c r="B6" s="45">
        <v>-59317.18</v>
      </c>
      <c r="C6" s="45">
        <v>-12246.43</v>
      </c>
      <c r="D6" s="45">
        <v>188612</v>
      </c>
      <c r="E6" s="45">
        <v>22251.26</v>
      </c>
      <c r="G6" s="45">
        <v>145483.38</v>
      </c>
      <c r="H6" s="45">
        <v>3547302</v>
      </c>
      <c r="J6" s="45">
        <v>404023.49000000005</v>
      </c>
      <c r="K6" s="45">
        <v>1150769.1099999999</v>
      </c>
      <c r="L6" s="45">
        <v>1995681.1899999997</v>
      </c>
      <c r="M6" s="45">
        <v>505223.4800000001</v>
      </c>
      <c r="N6" s="45">
        <v>52322.169999999991</v>
      </c>
      <c r="O6" s="45">
        <v>661951.05999999994</v>
      </c>
      <c r="P6" s="45">
        <v>4698.6400000000003</v>
      </c>
      <c r="Q6" s="45">
        <v>3931.63</v>
      </c>
      <c r="R6" s="45">
        <v>27375.56</v>
      </c>
      <c r="S6" s="45">
        <v>573811.71000000008</v>
      </c>
      <c r="T6" s="45">
        <v>9229.32</v>
      </c>
      <c r="U6" s="45">
        <v>33408.14</v>
      </c>
      <c r="V6" s="45">
        <v>14202</v>
      </c>
      <c r="W6" s="45">
        <v>1232179.06</v>
      </c>
      <c r="X6" s="45">
        <v>104883.24999999997</v>
      </c>
      <c r="AA6" s="45">
        <v>18541.98</v>
      </c>
      <c r="AB6" s="45">
        <v>319974.65999999997</v>
      </c>
      <c r="AC6" s="45">
        <v>798783.00000000012</v>
      </c>
      <c r="AD6" s="45">
        <v>163862.37000000005</v>
      </c>
      <c r="AG6" s="45">
        <v>241701.32999999996</v>
      </c>
      <c r="AH6" s="45">
        <v>741.01</v>
      </c>
      <c r="AI6" s="45">
        <v>41813.129999999997</v>
      </c>
      <c r="AJ6" s="45">
        <v>94391.12999999999</v>
      </c>
      <c r="AK6" s="45">
        <v>61948.989999999991</v>
      </c>
      <c r="AL6" s="45">
        <v>5655</v>
      </c>
      <c r="AM6" s="45">
        <v>9405.25</v>
      </c>
      <c r="AN6" s="45">
        <v>24488.69</v>
      </c>
      <c r="AO6" s="45">
        <v>4233.3</v>
      </c>
      <c r="AR6" s="45">
        <v>15578.52</v>
      </c>
      <c r="AS6" s="45">
        <v>5888</v>
      </c>
      <c r="AT6" s="45">
        <v>63252.479999999996</v>
      </c>
      <c r="AV6" s="45">
        <v>18548.5</v>
      </c>
      <c r="AW6" s="45">
        <v>20725.79</v>
      </c>
      <c r="AY6" s="45">
        <v>798828.88000000012</v>
      </c>
      <c r="AZ6" s="45">
        <v>122103.98000000001</v>
      </c>
      <c r="BA6" s="45">
        <v>108800</v>
      </c>
      <c r="BE6" s="2">
        <f t="shared" ref="BE6:BE37" si="0">SUM(B6:BD6)</f>
        <v>13545040.830000008</v>
      </c>
      <c r="BG6" s="341"/>
      <c r="BH6" s="341">
        <v>663.44</v>
      </c>
      <c r="BI6" s="341">
        <v>281820.46999999997</v>
      </c>
      <c r="BJ6" s="341"/>
      <c r="BK6" s="341"/>
      <c r="BL6" s="341">
        <v>718.91</v>
      </c>
      <c r="BM6" s="341">
        <v>15113.98</v>
      </c>
      <c r="BN6" s="341">
        <v>2379.37</v>
      </c>
      <c r="BO6" s="341">
        <v>802973.65000000026</v>
      </c>
      <c r="BP6" s="341">
        <v>819.02</v>
      </c>
      <c r="BQ6" s="341"/>
      <c r="BR6" s="341">
        <v>90000</v>
      </c>
      <c r="BS6" s="341">
        <v>65175</v>
      </c>
      <c r="BT6" s="341"/>
      <c r="BU6" s="341"/>
      <c r="BV6" s="341"/>
      <c r="BW6" s="341"/>
      <c r="BX6" s="341"/>
      <c r="BY6" s="341">
        <v>15085.039999999999</v>
      </c>
      <c r="BZ6" s="341"/>
      <c r="CA6" s="341"/>
      <c r="CB6" s="347"/>
      <c r="CC6" s="341"/>
      <c r="CD6" s="341">
        <v>422536.88999999996</v>
      </c>
      <c r="CE6" s="341">
        <v>365540.99999999994</v>
      </c>
      <c r="CF6" s="341">
        <v>1076.5</v>
      </c>
      <c r="CG6" s="341"/>
      <c r="CH6" s="341"/>
      <c r="CI6" s="341">
        <v>79123.22</v>
      </c>
      <c r="CJ6" s="341">
        <v>818.67</v>
      </c>
      <c r="CK6" s="341"/>
      <c r="CL6" s="341"/>
      <c r="CM6" s="341"/>
      <c r="CN6" s="341"/>
      <c r="CO6" s="341"/>
      <c r="CP6" s="347">
        <v>14143</v>
      </c>
      <c r="CQ6" s="341"/>
      <c r="CR6" s="342">
        <f t="shared" ref="CR6:CR69" si="1">SUM(BN6:CP6)</f>
        <v>1859671.36</v>
      </c>
    </row>
    <row r="7" spans="1:96" x14ac:dyDescent="0.25">
      <c r="A7" s="45" t="s">
        <v>344</v>
      </c>
      <c r="B7" s="45">
        <v>-254643.42</v>
      </c>
      <c r="C7" s="45">
        <v>-32256.28</v>
      </c>
      <c r="D7" s="45">
        <v>943060</v>
      </c>
      <c r="E7" s="45">
        <v>179113.89999999997</v>
      </c>
      <c r="G7" s="45">
        <v>611030.18999999994</v>
      </c>
      <c r="H7" s="45">
        <v>26189862.999999993</v>
      </c>
      <c r="I7" s="45">
        <v>195.8</v>
      </c>
      <c r="J7" s="45">
        <v>2641699.9499999997</v>
      </c>
      <c r="K7" s="45">
        <v>8458676.2899999991</v>
      </c>
      <c r="L7" s="45">
        <v>14726841.370000001</v>
      </c>
      <c r="M7" s="45">
        <v>4840811.33</v>
      </c>
      <c r="N7" s="45">
        <v>302161.36</v>
      </c>
      <c r="O7" s="45">
        <v>2837254.3600000003</v>
      </c>
      <c r="P7" s="45">
        <v>58336.12999999999</v>
      </c>
      <c r="Q7" s="45">
        <v>217655.85</v>
      </c>
      <c r="R7" s="45">
        <v>592676.13</v>
      </c>
      <c r="S7" s="45">
        <v>4570827.0699999994</v>
      </c>
      <c r="T7" s="45">
        <v>102471.95999999999</v>
      </c>
      <c r="U7" s="45">
        <v>98698.1</v>
      </c>
      <c r="V7" s="45">
        <v>80966.39</v>
      </c>
      <c r="W7" s="45">
        <v>7670138.790000001</v>
      </c>
      <c r="X7" s="45">
        <v>1208735.72</v>
      </c>
      <c r="Z7" s="45">
        <v>50400</v>
      </c>
      <c r="AA7" s="45">
        <v>79220.850000000006</v>
      </c>
      <c r="AB7" s="45">
        <v>2630612.2200000002</v>
      </c>
      <c r="AC7" s="45">
        <v>5371274</v>
      </c>
      <c r="AD7" s="45">
        <v>1101863.29</v>
      </c>
      <c r="AG7" s="45">
        <v>2228218.83</v>
      </c>
      <c r="AH7" s="45">
        <v>32851.86</v>
      </c>
      <c r="AI7" s="45">
        <v>342791.47000000003</v>
      </c>
      <c r="AJ7" s="45">
        <v>771788.73999999987</v>
      </c>
      <c r="AK7" s="45">
        <v>504226.64999999991</v>
      </c>
      <c r="AL7" s="45">
        <v>47677.75</v>
      </c>
      <c r="AM7" s="45">
        <v>75145</v>
      </c>
      <c r="AN7" s="45">
        <v>82663.720000000016</v>
      </c>
      <c r="AO7" s="45">
        <v>35303.379999999997</v>
      </c>
      <c r="AQ7" s="45">
        <v>43135.55</v>
      </c>
      <c r="AS7" s="45">
        <v>45837.5</v>
      </c>
      <c r="AT7" s="45">
        <v>1176359.9999999998</v>
      </c>
      <c r="AV7" s="45">
        <v>63671.88</v>
      </c>
      <c r="AW7" s="45">
        <v>511186.08999999997</v>
      </c>
      <c r="AX7" s="45">
        <v>1176.31</v>
      </c>
      <c r="AY7" s="45">
        <v>5508386.7799999993</v>
      </c>
      <c r="AZ7" s="45">
        <v>1282091.79</v>
      </c>
      <c r="BA7" s="45">
        <v>160000</v>
      </c>
      <c r="BE7" s="2">
        <f t="shared" si="0"/>
        <v>98190197.650000006</v>
      </c>
      <c r="BG7" s="341"/>
      <c r="BH7" s="341">
        <v>3847.96</v>
      </c>
      <c r="BI7" s="341">
        <v>2006926.5800000003</v>
      </c>
      <c r="BJ7" s="341"/>
      <c r="BK7" s="341">
        <v>168</v>
      </c>
      <c r="BL7" s="341">
        <v>4936.71</v>
      </c>
      <c r="BM7" s="341">
        <v>95520.34</v>
      </c>
      <c r="BN7" s="341">
        <v>5171.0199999999995</v>
      </c>
      <c r="BO7" s="341">
        <v>5510489.4699999997</v>
      </c>
      <c r="BP7" s="341">
        <v>5630.88</v>
      </c>
      <c r="BQ7" s="341"/>
      <c r="BR7" s="341">
        <v>415000</v>
      </c>
      <c r="BS7" s="341">
        <v>470250</v>
      </c>
      <c r="BT7" s="341"/>
      <c r="BU7" s="341"/>
      <c r="BV7" s="341"/>
      <c r="BW7" s="341"/>
      <c r="BX7" s="341"/>
      <c r="BY7" s="341">
        <v>217895</v>
      </c>
      <c r="BZ7" s="341"/>
      <c r="CA7" s="341"/>
      <c r="CB7" s="347"/>
      <c r="CC7" s="341"/>
      <c r="CD7" s="341">
        <v>2120100.89</v>
      </c>
      <c r="CE7" s="341">
        <v>574523.64</v>
      </c>
      <c r="CF7" s="341">
        <v>1076.5</v>
      </c>
      <c r="CG7" s="341"/>
      <c r="CH7" s="341"/>
      <c r="CI7" s="341">
        <v>491445.18999999989</v>
      </c>
      <c r="CJ7" s="341">
        <v>10369.83</v>
      </c>
      <c r="CK7" s="341"/>
      <c r="CL7" s="341"/>
      <c r="CM7" s="341">
        <v>8372.74</v>
      </c>
      <c r="CN7" s="341">
        <v>10000</v>
      </c>
      <c r="CO7" s="341"/>
      <c r="CP7" s="347">
        <v>103383</v>
      </c>
      <c r="CQ7" s="341"/>
      <c r="CR7" s="342">
        <f t="shared" si="1"/>
        <v>9943708.1600000001</v>
      </c>
    </row>
    <row r="8" spans="1:96" x14ac:dyDescent="0.25">
      <c r="A8" s="45" t="s">
        <v>345</v>
      </c>
      <c r="B8" s="45">
        <v>-20574.939999999999</v>
      </c>
      <c r="C8" s="45">
        <v>-9826.24</v>
      </c>
      <c r="D8" s="45">
        <v>141459</v>
      </c>
      <c r="E8" s="45">
        <v>8439.9700000000012</v>
      </c>
      <c r="G8" s="45">
        <v>58193.35</v>
      </c>
      <c r="H8" s="45">
        <v>1260573</v>
      </c>
      <c r="J8" s="45">
        <v>138034.69999999998</v>
      </c>
      <c r="K8" s="45">
        <v>416494.8899999999</v>
      </c>
      <c r="L8" s="45">
        <v>605121.04</v>
      </c>
      <c r="M8" s="45">
        <v>193682.51</v>
      </c>
      <c r="N8" s="45">
        <v>16351.34</v>
      </c>
      <c r="O8" s="45">
        <v>228463.97000000003</v>
      </c>
      <c r="P8" s="45">
        <v>3500.12</v>
      </c>
      <c r="Q8" s="45">
        <v>7722.4500000000007</v>
      </c>
      <c r="R8" s="45">
        <v>10123.02</v>
      </c>
      <c r="S8" s="45">
        <v>96071.540000000008</v>
      </c>
      <c r="T8" s="45">
        <v>7161.7999999999993</v>
      </c>
      <c r="U8" s="45">
        <v>4915.47</v>
      </c>
      <c r="W8" s="45">
        <v>497303.61999999994</v>
      </c>
      <c r="X8" s="45">
        <v>58545.69</v>
      </c>
      <c r="AA8" s="45">
        <v>13114.44</v>
      </c>
      <c r="AB8" s="45">
        <v>171758.85</v>
      </c>
      <c r="AC8" s="45">
        <v>316030</v>
      </c>
      <c r="AD8" s="45">
        <v>64830.400000000009</v>
      </c>
      <c r="AE8" s="45">
        <v>2600</v>
      </c>
      <c r="AG8" s="45">
        <v>135873.43</v>
      </c>
      <c r="AH8" s="45">
        <v>2470.0700000000002</v>
      </c>
      <c r="AI8" s="45">
        <v>31657.41</v>
      </c>
      <c r="AJ8" s="45">
        <v>36238.93</v>
      </c>
      <c r="AK8" s="45">
        <v>49999.999999999993</v>
      </c>
      <c r="AL8" s="45">
        <v>2072.25</v>
      </c>
      <c r="AM8" s="45">
        <v>2571.25</v>
      </c>
      <c r="AN8" s="45">
        <v>12623.38</v>
      </c>
      <c r="AO8" s="45">
        <v>1584.04</v>
      </c>
      <c r="AQ8" s="45">
        <v>25000</v>
      </c>
      <c r="AR8" s="45">
        <v>6325.57</v>
      </c>
      <c r="AS8" s="45">
        <v>1072</v>
      </c>
      <c r="AT8" s="45">
        <v>6598.58</v>
      </c>
      <c r="AV8" s="45">
        <v>15012.4</v>
      </c>
      <c r="AW8" s="45">
        <v>4724.2</v>
      </c>
      <c r="AX8" s="45">
        <v>588.17999999999995</v>
      </c>
      <c r="AY8" s="45">
        <v>372236.57</v>
      </c>
      <c r="AZ8" s="45">
        <v>61051.990000000005</v>
      </c>
      <c r="BA8" s="45">
        <v>204962</v>
      </c>
      <c r="BE8" s="2">
        <f t="shared" si="0"/>
        <v>5262752.2400000021</v>
      </c>
      <c r="BG8" s="341"/>
      <c r="BH8" s="341">
        <v>663.44</v>
      </c>
      <c r="BI8" s="341">
        <v>206953.87999999998</v>
      </c>
      <c r="BJ8" s="341"/>
      <c r="BK8" s="341"/>
      <c r="BL8" s="341">
        <v>350.32</v>
      </c>
      <c r="BM8" s="341">
        <v>12091.18</v>
      </c>
      <c r="BN8" s="341">
        <v>12086.15</v>
      </c>
      <c r="BO8" s="341">
        <v>467827.98999999993</v>
      </c>
      <c r="BP8" s="341">
        <v>417.72</v>
      </c>
      <c r="BQ8" s="341"/>
      <c r="BR8" s="341">
        <v>490000</v>
      </c>
      <c r="BS8" s="341">
        <v>30525</v>
      </c>
      <c r="BT8" s="341"/>
      <c r="BU8" s="341"/>
      <c r="BV8" s="341"/>
      <c r="BW8" s="341"/>
      <c r="BX8" s="341"/>
      <c r="BY8" s="341">
        <v>28493.96</v>
      </c>
      <c r="BZ8" s="341"/>
      <c r="CA8" s="341"/>
      <c r="CB8" s="347"/>
      <c r="CC8" s="341"/>
      <c r="CD8" s="341">
        <v>284363.84999999998</v>
      </c>
      <c r="CE8" s="341"/>
      <c r="CF8" s="341">
        <v>1076.5</v>
      </c>
      <c r="CG8" s="341"/>
      <c r="CH8" s="341"/>
      <c r="CI8" s="341"/>
      <c r="CJ8" s="341"/>
      <c r="CK8" s="341"/>
      <c r="CL8" s="341"/>
      <c r="CM8" s="341">
        <v>9623.0400000000009</v>
      </c>
      <c r="CN8" s="341"/>
      <c r="CO8" s="341">
        <v>132000</v>
      </c>
      <c r="CP8" s="347">
        <v>5026</v>
      </c>
      <c r="CQ8" s="341"/>
      <c r="CR8" s="342">
        <f t="shared" si="1"/>
        <v>1461440.21</v>
      </c>
    </row>
    <row r="9" spans="1:96" x14ac:dyDescent="0.25">
      <c r="A9" s="45" t="s">
        <v>346</v>
      </c>
      <c r="B9" s="45">
        <v>-121856.45999999999</v>
      </c>
      <c r="C9" s="45">
        <v>-16391.86</v>
      </c>
      <c r="D9" s="45">
        <v>377224</v>
      </c>
      <c r="E9" s="45">
        <v>70741.75</v>
      </c>
      <c r="G9" s="45">
        <v>232773.41</v>
      </c>
      <c r="H9" s="45">
        <v>12255344</v>
      </c>
      <c r="I9" s="45">
        <v>385</v>
      </c>
      <c r="J9" s="45">
        <v>1288022.6400000001</v>
      </c>
      <c r="K9" s="45">
        <v>3744577.47</v>
      </c>
      <c r="L9" s="45">
        <v>7017048.0700000003</v>
      </c>
      <c r="M9" s="45">
        <v>1666079.5699999998</v>
      </c>
      <c r="N9" s="45">
        <v>42941.56</v>
      </c>
      <c r="O9" s="45">
        <v>1414116.34</v>
      </c>
      <c r="P9" s="45">
        <v>11896.43</v>
      </c>
      <c r="Q9" s="45">
        <v>108423.86999999998</v>
      </c>
      <c r="R9" s="45">
        <v>70638.559999999998</v>
      </c>
      <c r="S9" s="45">
        <v>2672302.0299999998</v>
      </c>
      <c r="T9" s="45">
        <v>41372.269999999997</v>
      </c>
      <c r="U9" s="45">
        <v>52377.7</v>
      </c>
      <c r="V9" s="45">
        <v>27697</v>
      </c>
      <c r="W9" s="45">
        <v>4846750.9900000012</v>
      </c>
      <c r="X9" s="45">
        <v>504558.24000000011</v>
      </c>
      <c r="AA9" s="45">
        <v>37705.85</v>
      </c>
      <c r="AB9" s="45">
        <v>856545.25</v>
      </c>
      <c r="AC9" s="45">
        <v>1982015.0000000002</v>
      </c>
      <c r="AD9" s="45">
        <v>406590.61000000004</v>
      </c>
      <c r="AG9" s="45">
        <v>813321.72</v>
      </c>
      <c r="AH9" s="45">
        <v>5681.15</v>
      </c>
      <c r="AI9" s="45">
        <v>140402.77000000002</v>
      </c>
      <c r="AJ9" s="45">
        <v>317357.12</v>
      </c>
      <c r="AK9" s="45">
        <v>127512.52</v>
      </c>
      <c r="AL9" s="45">
        <v>20641.25</v>
      </c>
      <c r="AM9" s="45">
        <v>12282.5</v>
      </c>
      <c r="AN9" s="45">
        <v>61059.76</v>
      </c>
      <c r="AO9" s="45">
        <v>14934.47</v>
      </c>
      <c r="AQ9" s="45">
        <v>134154.16999999998</v>
      </c>
      <c r="AR9" s="45">
        <v>47480.23</v>
      </c>
      <c r="AS9" s="45">
        <v>10800</v>
      </c>
      <c r="AT9" s="45">
        <v>643878.85000000009</v>
      </c>
      <c r="AV9" s="45">
        <v>10000</v>
      </c>
      <c r="AW9" s="45">
        <v>181528.47</v>
      </c>
      <c r="AX9" s="45">
        <v>294.08999999999997</v>
      </c>
      <c r="AY9" s="45">
        <v>2022186.7799999996</v>
      </c>
      <c r="AZ9" s="45">
        <v>488415.92000000004</v>
      </c>
      <c r="BA9" s="45">
        <v>106200</v>
      </c>
      <c r="BE9" s="2">
        <f t="shared" si="0"/>
        <v>44748011.060000002</v>
      </c>
      <c r="BG9" s="341">
        <v>4536.3599999999997</v>
      </c>
      <c r="BH9" s="341">
        <v>641.33000000000004</v>
      </c>
      <c r="BI9" s="341">
        <v>568822.71</v>
      </c>
      <c r="BJ9" s="341"/>
      <c r="BK9" s="341"/>
      <c r="BL9" s="341">
        <v>1337.42</v>
      </c>
      <c r="BM9" s="341">
        <v>26600.6</v>
      </c>
      <c r="BN9" s="341">
        <v>7229.82</v>
      </c>
      <c r="BO9" s="341">
        <v>1957988.1199999996</v>
      </c>
      <c r="BP9" s="341">
        <v>730.29</v>
      </c>
      <c r="BQ9" s="341"/>
      <c r="BR9" s="341"/>
      <c r="BS9" s="341">
        <v>171050</v>
      </c>
      <c r="BT9" s="341">
        <v>12000</v>
      </c>
      <c r="BU9" s="341"/>
      <c r="BV9" s="341"/>
      <c r="BW9" s="341"/>
      <c r="BX9" s="341"/>
      <c r="BY9" s="341">
        <v>41902.879999999997</v>
      </c>
      <c r="BZ9" s="341"/>
      <c r="CA9" s="341"/>
      <c r="CB9" s="347"/>
      <c r="CC9" s="341"/>
      <c r="CD9" s="341"/>
      <c r="CE9" s="341">
        <v>453719.76</v>
      </c>
      <c r="CF9" s="341">
        <v>10765</v>
      </c>
      <c r="CG9" s="341">
        <v>284779.26</v>
      </c>
      <c r="CH9" s="341"/>
      <c r="CI9" s="341">
        <v>306839.86000000004</v>
      </c>
      <c r="CJ9" s="341">
        <v>21560.57</v>
      </c>
      <c r="CK9" s="341"/>
      <c r="CL9" s="341"/>
      <c r="CM9" s="341"/>
      <c r="CN9" s="341"/>
      <c r="CO9" s="341"/>
      <c r="CP9" s="347">
        <v>48609</v>
      </c>
      <c r="CQ9" s="341"/>
      <c r="CR9" s="342">
        <f t="shared" si="1"/>
        <v>3317174.5599999987</v>
      </c>
    </row>
    <row r="10" spans="1:96" x14ac:dyDescent="0.25">
      <c r="A10" s="45" t="s">
        <v>347</v>
      </c>
      <c r="B10" s="45">
        <v>-53372.3</v>
      </c>
      <c r="C10" s="45">
        <v>-17889.34</v>
      </c>
      <c r="D10" s="45">
        <v>141459</v>
      </c>
      <c r="E10" s="45">
        <v>26329.08</v>
      </c>
      <c r="G10" s="45">
        <v>116386.69999999998</v>
      </c>
      <c r="H10" s="45">
        <v>4923614</v>
      </c>
      <c r="J10" s="45">
        <v>480912.73000000004</v>
      </c>
      <c r="K10" s="45">
        <v>1287281.6199999999</v>
      </c>
      <c r="L10" s="45">
        <v>2585441.0399999996</v>
      </c>
      <c r="M10" s="45">
        <v>287293.84999999998</v>
      </c>
      <c r="N10" s="45">
        <v>25328.969999999998</v>
      </c>
      <c r="O10" s="45">
        <v>1002478.4500000001</v>
      </c>
      <c r="P10" s="45">
        <v>1851.6</v>
      </c>
      <c r="Q10" s="45">
        <v>29888.19</v>
      </c>
      <c r="R10" s="45">
        <v>47745.11</v>
      </c>
      <c r="S10" s="45">
        <v>904687.52</v>
      </c>
      <c r="T10" s="45">
        <v>10849.24</v>
      </c>
      <c r="U10" s="45">
        <v>48821.59</v>
      </c>
      <c r="V10" s="45">
        <v>4072.16</v>
      </c>
      <c r="W10" s="45">
        <v>2324777.3799999994</v>
      </c>
      <c r="X10" s="45">
        <v>168332.12000000002</v>
      </c>
      <c r="Z10" s="45">
        <v>11565.519999999999</v>
      </c>
      <c r="AA10" s="45">
        <v>20465.25</v>
      </c>
      <c r="AB10" s="45">
        <v>400789.23000000004</v>
      </c>
      <c r="AC10" s="45">
        <v>751364.99999999988</v>
      </c>
      <c r="AD10" s="45">
        <v>154135.04000000001</v>
      </c>
      <c r="AG10" s="45">
        <v>408936.24</v>
      </c>
      <c r="AH10" s="45">
        <v>2964.08</v>
      </c>
      <c r="AI10" s="45">
        <v>52459.9</v>
      </c>
      <c r="AJ10" s="45">
        <v>124022.20000000001</v>
      </c>
      <c r="AK10" s="45">
        <v>57129.619999999995</v>
      </c>
      <c r="AL10" s="45">
        <v>7671</v>
      </c>
      <c r="AM10" s="45">
        <v>7555</v>
      </c>
      <c r="AN10" s="45">
        <v>25096.789999999997</v>
      </c>
      <c r="AO10" s="45">
        <v>5599.84</v>
      </c>
      <c r="AR10" s="45">
        <v>18310.400000000001</v>
      </c>
      <c r="AS10" s="45">
        <v>8320</v>
      </c>
      <c r="AT10" s="45">
        <v>245691.02</v>
      </c>
      <c r="AV10" s="45">
        <v>10208.85</v>
      </c>
      <c r="AW10" s="45">
        <v>16358.289999999997</v>
      </c>
      <c r="AY10" s="45">
        <v>973772.29</v>
      </c>
      <c r="AZ10" s="45">
        <v>201471.57</v>
      </c>
      <c r="BA10" s="45">
        <v>60000</v>
      </c>
      <c r="BB10" s="45">
        <v>201584.49999999997</v>
      </c>
      <c r="BE10" s="2">
        <f t="shared" si="0"/>
        <v>18111760.339999992</v>
      </c>
      <c r="BG10" s="341"/>
      <c r="BH10" s="341">
        <v>641.33000000000004</v>
      </c>
      <c r="BI10" s="341">
        <v>276782.40000000002</v>
      </c>
      <c r="BJ10" s="341"/>
      <c r="BK10" s="341"/>
      <c r="BL10" s="341">
        <v>667.71</v>
      </c>
      <c r="BM10" s="341">
        <v>15113.98</v>
      </c>
      <c r="BN10" s="341">
        <v>7392.17</v>
      </c>
      <c r="BO10" s="341">
        <v>842357.74</v>
      </c>
      <c r="BP10" s="341">
        <v>640.79999999999995</v>
      </c>
      <c r="BQ10" s="341"/>
      <c r="BR10" s="341"/>
      <c r="BS10" s="341">
        <v>69025</v>
      </c>
      <c r="BT10" s="341"/>
      <c r="BU10" s="341"/>
      <c r="BV10" s="341"/>
      <c r="BW10" s="341"/>
      <c r="BX10" s="341">
        <v>33161</v>
      </c>
      <c r="BY10" s="341">
        <v>35198.42</v>
      </c>
      <c r="BZ10" s="341"/>
      <c r="CA10" s="341"/>
      <c r="CB10" s="347"/>
      <c r="CC10" s="341"/>
      <c r="CD10" s="341">
        <v>417225.1100000001</v>
      </c>
      <c r="CE10" s="341">
        <v>150705.5</v>
      </c>
      <c r="CF10" s="341">
        <v>1076.5</v>
      </c>
      <c r="CG10" s="341"/>
      <c r="CH10" s="341"/>
      <c r="CI10" s="341"/>
      <c r="CJ10" s="341"/>
      <c r="CK10" s="341"/>
      <c r="CL10" s="341"/>
      <c r="CM10" s="341">
        <v>12523.54</v>
      </c>
      <c r="CN10" s="341"/>
      <c r="CO10" s="341"/>
      <c r="CP10" s="347">
        <v>19421</v>
      </c>
      <c r="CQ10" s="341"/>
      <c r="CR10" s="342">
        <f t="shared" si="1"/>
        <v>1588726.7800000003</v>
      </c>
    </row>
    <row r="11" spans="1:96" x14ac:dyDescent="0.25">
      <c r="A11" s="45" t="s">
        <v>348</v>
      </c>
      <c r="B11" s="45">
        <v>-45702.939999999995</v>
      </c>
      <c r="C11" s="45">
        <v>-7342.84</v>
      </c>
      <c r="D11" s="45">
        <v>141459</v>
      </c>
      <c r="E11" s="45">
        <v>18444.22</v>
      </c>
      <c r="G11" s="45">
        <v>87290.03</v>
      </c>
      <c r="H11" s="45">
        <v>3280714</v>
      </c>
      <c r="J11" s="45">
        <v>398755.89</v>
      </c>
      <c r="K11" s="45">
        <v>945028.16000000015</v>
      </c>
      <c r="L11" s="45">
        <v>1775183.4200000002</v>
      </c>
      <c r="M11" s="45">
        <v>302082.12</v>
      </c>
      <c r="N11" s="45">
        <v>2124.9700000000003</v>
      </c>
      <c r="O11" s="45">
        <v>404536.77000000008</v>
      </c>
      <c r="P11" s="45">
        <v>8775.2899999999991</v>
      </c>
      <c r="Q11" s="45">
        <v>15450.339999999998</v>
      </c>
      <c r="R11" s="45">
        <v>55583.780000000006</v>
      </c>
      <c r="S11" s="45">
        <v>712649.3</v>
      </c>
      <c r="T11" s="45">
        <v>45269.69000000001</v>
      </c>
      <c r="U11" s="45">
        <v>37346.969999999994</v>
      </c>
      <c r="V11" s="45">
        <v>22104.579999999998</v>
      </c>
      <c r="W11" s="45">
        <v>1232491.73</v>
      </c>
      <c r="X11" s="45">
        <v>161178.39000000001</v>
      </c>
      <c r="AA11" s="45">
        <v>17111.22</v>
      </c>
      <c r="AB11" s="45">
        <v>298426.57999999996</v>
      </c>
      <c r="AC11" s="45">
        <v>564389</v>
      </c>
      <c r="AD11" s="45">
        <v>115778.76999999999</v>
      </c>
      <c r="AG11" s="45">
        <v>255439.99000000005</v>
      </c>
      <c r="AH11" s="45">
        <v>1976.05</v>
      </c>
      <c r="AI11" s="45">
        <v>35569.64</v>
      </c>
      <c r="AJ11" s="45">
        <v>83721.64999999998</v>
      </c>
      <c r="AK11" s="45">
        <v>81828.900000000009</v>
      </c>
      <c r="AL11" s="45">
        <v>5152.5</v>
      </c>
      <c r="AM11" s="45">
        <v>6137</v>
      </c>
      <c r="AN11" s="45">
        <v>18153.620000000003</v>
      </c>
      <c r="AO11" s="45">
        <v>3689.25</v>
      </c>
      <c r="AR11" s="45">
        <v>13284.04</v>
      </c>
      <c r="AT11" s="45">
        <v>109316.84</v>
      </c>
      <c r="AV11" s="45">
        <v>15430.1</v>
      </c>
      <c r="AW11" s="45">
        <v>21376.780000000002</v>
      </c>
      <c r="AY11" s="45">
        <v>753448.17000000016</v>
      </c>
      <c r="AZ11" s="45">
        <v>181948.98</v>
      </c>
      <c r="BA11" s="45">
        <v>469780</v>
      </c>
      <c r="BE11" s="2">
        <f t="shared" si="0"/>
        <v>12645381.950000001</v>
      </c>
      <c r="BG11" s="341"/>
      <c r="BH11" s="341">
        <v>641.33000000000004</v>
      </c>
      <c r="BI11" s="341">
        <v>309367.42</v>
      </c>
      <c r="BJ11" s="341"/>
      <c r="BK11" s="341"/>
      <c r="BL11" s="341">
        <v>531.76</v>
      </c>
      <c r="BM11" s="341">
        <v>18136.77</v>
      </c>
      <c r="BN11" s="341">
        <v>5322.0599999999995</v>
      </c>
      <c r="BO11" s="341">
        <v>634466.94000000018</v>
      </c>
      <c r="BP11" s="341">
        <v>256.36</v>
      </c>
      <c r="BQ11" s="341"/>
      <c r="BR11" s="341"/>
      <c r="BS11" s="341">
        <v>51425</v>
      </c>
      <c r="BT11" s="341"/>
      <c r="BU11" s="341"/>
      <c r="BV11" s="341"/>
      <c r="BW11" s="341"/>
      <c r="BX11" s="341"/>
      <c r="BY11" s="341">
        <v>15085.039999999999</v>
      </c>
      <c r="BZ11" s="341"/>
      <c r="CA11" s="341"/>
      <c r="CB11" s="347"/>
      <c r="CC11" s="341"/>
      <c r="CD11" s="341">
        <v>473316.14999999997</v>
      </c>
      <c r="CE11" s="341">
        <v>57716.999999999985</v>
      </c>
      <c r="CF11" s="341">
        <v>1076.5</v>
      </c>
      <c r="CG11" s="341"/>
      <c r="CH11" s="341"/>
      <c r="CI11" s="341"/>
      <c r="CJ11" s="341"/>
      <c r="CK11" s="341"/>
      <c r="CL11" s="341"/>
      <c r="CM11" s="341">
        <v>10147.5</v>
      </c>
      <c r="CN11" s="341"/>
      <c r="CO11" s="341"/>
      <c r="CP11" s="347">
        <v>12989</v>
      </c>
      <c r="CQ11" s="341"/>
      <c r="CR11" s="342">
        <f t="shared" si="1"/>
        <v>1261801.5500000003</v>
      </c>
    </row>
    <row r="12" spans="1:96" x14ac:dyDescent="0.25">
      <c r="A12" s="45" t="s">
        <v>349</v>
      </c>
      <c r="B12" s="45">
        <v>-58166.219999999994</v>
      </c>
      <c r="C12" s="45">
        <v>-12347.22</v>
      </c>
      <c r="D12" s="45">
        <v>141459</v>
      </c>
      <c r="E12" s="45">
        <v>20136.53</v>
      </c>
      <c r="G12" s="45">
        <v>116386.69999999998</v>
      </c>
      <c r="H12" s="45">
        <v>2769520</v>
      </c>
      <c r="I12" s="45">
        <v>55</v>
      </c>
      <c r="J12" s="45">
        <v>283710.46000000002</v>
      </c>
      <c r="K12" s="45">
        <v>795527.99</v>
      </c>
      <c r="L12" s="45">
        <v>1514733.1700000002</v>
      </c>
      <c r="M12" s="45">
        <v>258226.24</v>
      </c>
      <c r="N12" s="45">
        <v>10039.73</v>
      </c>
      <c r="O12" s="45">
        <v>419166.57</v>
      </c>
      <c r="Q12" s="45">
        <v>25195.54</v>
      </c>
      <c r="R12" s="45">
        <v>37416.42</v>
      </c>
      <c r="S12" s="45">
        <v>641644.32999999996</v>
      </c>
      <c r="T12" s="45">
        <v>8195.3700000000008</v>
      </c>
      <c r="U12" s="45">
        <v>8209.84</v>
      </c>
      <c r="V12" s="45">
        <v>3271.7299999999996</v>
      </c>
      <c r="W12" s="45">
        <v>1131826.7300000002</v>
      </c>
      <c r="X12" s="45">
        <v>89315.069999999978</v>
      </c>
      <c r="AA12" s="45">
        <v>17869.509999999998</v>
      </c>
      <c r="AB12" s="45">
        <v>285087.58999999997</v>
      </c>
      <c r="AC12" s="45">
        <v>721089.99999999988</v>
      </c>
      <c r="AD12" s="45">
        <v>147924.41999999998</v>
      </c>
      <c r="AG12" s="45">
        <v>185799.08</v>
      </c>
      <c r="AH12" s="45">
        <v>4446.12</v>
      </c>
      <c r="AI12" s="45">
        <v>40062.160000000003</v>
      </c>
      <c r="AJ12" s="45">
        <v>93349.380000000019</v>
      </c>
      <c r="AK12" s="45">
        <v>89158.36</v>
      </c>
      <c r="AL12" s="45">
        <v>5619</v>
      </c>
      <c r="AM12" s="45">
        <v>7582</v>
      </c>
      <c r="AN12" s="45">
        <v>9077.4500000000007</v>
      </c>
      <c r="AO12" s="45">
        <v>4271.04</v>
      </c>
      <c r="AR12" s="45">
        <v>13835.95</v>
      </c>
      <c r="AS12" s="45">
        <v>5263</v>
      </c>
      <c r="AT12" s="45">
        <v>143218.45000000001</v>
      </c>
      <c r="AV12" s="45">
        <v>27543.4</v>
      </c>
      <c r="AW12" s="45">
        <v>15380.349999999997</v>
      </c>
      <c r="AX12" s="45">
        <v>294.08999999999997</v>
      </c>
      <c r="AY12" s="45">
        <v>540461.21000000008</v>
      </c>
      <c r="AZ12" s="45">
        <v>244207.96</v>
      </c>
      <c r="BA12" s="45">
        <v>253705</v>
      </c>
      <c r="BE12" s="2">
        <f t="shared" si="0"/>
        <v>11058768.5</v>
      </c>
      <c r="BG12" s="341"/>
      <c r="BH12" s="341">
        <v>663.44</v>
      </c>
      <c r="BI12" s="341">
        <v>274285.48</v>
      </c>
      <c r="BJ12" s="341"/>
      <c r="BK12" s="341"/>
      <c r="BL12" s="341">
        <v>289.45</v>
      </c>
      <c r="BM12" s="341">
        <v>12695.74</v>
      </c>
      <c r="BN12" s="341">
        <v>8647.4</v>
      </c>
      <c r="BO12" s="341">
        <v>761976.08000000007</v>
      </c>
      <c r="BP12" s="341">
        <v>582.68000000000006</v>
      </c>
      <c r="BQ12" s="341"/>
      <c r="BR12" s="341"/>
      <c r="BS12" s="341">
        <v>59950</v>
      </c>
      <c r="BT12" s="341"/>
      <c r="BU12" s="341"/>
      <c r="BV12" s="341"/>
      <c r="BW12" s="341"/>
      <c r="BX12" s="341"/>
      <c r="BY12" s="341">
        <v>15085.039999999999</v>
      </c>
      <c r="BZ12" s="341"/>
      <c r="CA12" s="341"/>
      <c r="CB12" s="347"/>
      <c r="CC12" s="341"/>
      <c r="CD12" s="341"/>
      <c r="CE12" s="341">
        <v>182770.50000000003</v>
      </c>
      <c r="CF12" s="341">
        <v>1076.5</v>
      </c>
      <c r="CG12" s="341">
        <v>104528.79999999999</v>
      </c>
      <c r="CH12" s="341"/>
      <c r="CI12" s="341"/>
      <c r="CJ12" s="341"/>
      <c r="CK12" s="341"/>
      <c r="CL12" s="341"/>
      <c r="CM12" s="341"/>
      <c r="CN12" s="341"/>
      <c r="CO12" s="341"/>
      <c r="CP12" s="347">
        <v>10925</v>
      </c>
      <c r="CQ12" s="341"/>
      <c r="CR12" s="342">
        <f t="shared" si="1"/>
        <v>1145542.0000000002</v>
      </c>
    </row>
    <row r="13" spans="1:96" x14ac:dyDescent="0.25">
      <c r="A13" s="45" t="s">
        <v>350</v>
      </c>
      <c r="B13" s="45">
        <v>-227234.75</v>
      </c>
      <c r="C13" s="45">
        <v>-33078.400000000001</v>
      </c>
      <c r="D13" s="45">
        <v>518683.00000000006</v>
      </c>
      <c r="E13" s="45">
        <v>96425.769999999975</v>
      </c>
      <c r="G13" s="45">
        <v>320063.43</v>
      </c>
      <c r="H13" s="45">
        <v>14655804.000000002</v>
      </c>
      <c r="I13" s="45">
        <v>440.87</v>
      </c>
      <c r="J13" s="45">
        <v>1645402.52</v>
      </c>
      <c r="K13" s="45">
        <v>4664067.1800000006</v>
      </c>
      <c r="L13" s="45">
        <v>8357651.2699999996</v>
      </c>
      <c r="M13" s="45">
        <v>4401337.63</v>
      </c>
      <c r="N13" s="45">
        <v>85376.25999999998</v>
      </c>
      <c r="O13" s="45">
        <v>2026455.6100000003</v>
      </c>
      <c r="Q13" s="45">
        <v>234421.67000000004</v>
      </c>
      <c r="R13" s="45">
        <v>277779.31</v>
      </c>
      <c r="S13" s="45">
        <v>2599760.87</v>
      </c>
      <c r="T13" s="45">
        <v>89619.609999999986</v>
      </c>
      <c r="U13" s="45">
        <v>51033.39</v>
      </c>
      <c r="V13" s="45">
        <v>62707.330000000009</v>
      </c>
      <c r="W13" s="45">
        <v>1982079.56</v>
      </c>
      <c r="X13" s="45">
        <v>848972.32999999984</v>
      </c>
      <c r="Z13" s="45">
        <v>12599.999999999998</v>
      </c>
      <c r="AA13" s="45">
        <v>47159.8</v>
      </c>
      <c r="AB13" s="45">
        <v>1391728.05</v>
      </c>
      <c r="AC13" s="45">
        <v>3078009.9999999995</v>
      </c>
      <c r="AD13" s="45">
        <v>631423.04999999993</v>
      </c>
      <c r="AE13" s="45">
        <v>1563.12</v>
      </c>
      <c r="AG13" s="45">
        <v>1154606.8899999999</v>
      </c>
      <c r="AH13" s="45">
        <v>18278.48</v>
      </c>
      <c r="AI13" s="45">
        <v>182299.4</v>
      </c>
      <c r="AJ13" s="45">
        <v>410991.6399999999</v>
      </c>
      <c r="AK13" s="45">
        <v>389766.6</v>
      </c>
      <c r="AL13" s="45">
        <v>24896.5</v>
      </c>
      <c r="AM13" s="45">
        <v>35060</v>
      </c>
      <c r="AN13" s="45">
        <v>64951.59</v>
      </c>
      <c r="AO13" s="45">
        <v>18563.22</v>
      </c>
      <c r="AQ13" s="45">
        <v>35355.26</v>
      </c>
      <c r="AR13" s="45">
        <v>65970.97</v>
      </c>
      <c r="AS13" s="45">
        <v>22572</v>
      </c>
      <c r="AT13" s="45">
        <v>785491.76999999979</v>
      </c>
      <c r="AV13" s="45">
        <v>86832</v>
      </c>
      <c r="AW13" s="45">
        <v>239193.09</v>
      </c>
      <c r="AX13" s="45">
        <v>1176.3599999999999</v>
      </c>
      <c r="AY13" s="45">
        <v>3096968.67</v>
      </c>
      <c r="AZ13" s="45">
        <v>610519.9</v>
      </c>
      <c r="BA13" s="45">
        <v>84750</v>
      </c>
      <c r="BB13" s="45">
        <v>131811.57999999999</v>
      </c>
      <c r="BE13" s="2">
        <f t="shared" si="0"/>
        <v>55280308.399999991</v>
      </c>
      <c r="BG13" s="341"/>
      <c r="BH13" s="341">
        <v>2565.31</v>
      </c>
      <c r="BI13" s="341">
        <v>981506.7</v>
      </c>
      <c r="BJ13" s="341"/>
      <c r="BK13" s="341">
        <v>1704</v>
      </c>
      <c r="BL13" s="341">
        <v>3210.07</v>
      </c>
      <c r="BM13" s="341">
        <v>50178.41</v>
      </c>
      <c r="BN13" s="341">
        <v>27876.79</v>
      </c>
      <c r="BO13" s="341">
        <v>3042882.8199999994</v>
      </c>
      <c r="BP13" s="341">
        <v>2243.06</v>
      </c>
      <c r="BQ13" s="341"/>
      <c r="BR13" s="341"/>
      <c r="BS13" s="341">
        <v>258225</v>
      </c>
      <c r="BT13" s="341"/>
      <c r="BU13" s="341">
        <v>8972.77</v>
      </c>
      <c r="BV13" s="341"/>
      <c r="BW13" s="341"/>
      <c r="BX13" s="341"/>
      <c r="BY13" s="341">
        <v>105595.27</v>
      </c>
      <c r="BZ13" s="341"/>
      <c r="CA13" s="341">
        <v>10000</v>
      </c>
      <c r="CB13" s="347"/>
      <c r="CC13" s="341"/>
      <c r="CD13" s="341">
        <v>1773833.11</v>
      </c>
      <c r="CE13" s="341">
        <v>584220.80999999994</v>
      </c>
      <c r="CF13" s="341">
        <v>1076.5</v>
      </c>
      <c r="CG13" s="341"/>
      <c r="CH13" s="341"/>
      <c r="CI13" s="341">
        <v>342733.74999999994</v>
      </c>
      <c r="CJ13" s="341">
        <v>8082.75</v>
      </c>
      <c r="CK13" s="341"/>
      <c r="CL13" s="341"/>
      <c r="CM13" s="341"/>
      <c r="CN13" s="341"/>
      <c r="CO13" s="341"/>
      <c r="CP13" s="347">
        <v>58315</v>
      </c>
      <c r="CQ13" s="341"/>
      <c r="CR13" s="342">
        <f t="shared" si="1"/>
        <v>6224057.629999999</v>
      </c>
    </row>
    <row r="14" spans="1:96" x14ac:dyDescent="0.25">
      <c r="A14" s="45" t="s">
        <v>351</v>
      </c>
      <c r="B14" s="45">
        <v>-34652.660000000003</v>
      </c>
      <c r="C14" s="45">
        <v>-38085.050000000003</v>
      </c>
      <c r="D14" s="45">
        <v>141459</v>
      </c>
      <c r="E14" s="45">
        <v>9162.1299999999992</v>
      </c>
      <c r="G14" s="45">
        <v>29096.68</v>
      </c>
      <c r="H14" s="45">
        <v>1680457</v>
      </c>
      <c r="J14" s="45">
        <v>155950.99</v>
      </c>
      <c r="K14" s="45">
        <v>492604.03</v>
      </c>
      <c r="L14" s="45">
        <v>959320.76</v>
      </c>
      <c r="M14" s="45">
        <v>355606.76</v>
      </c>
      <c r="N14" s="45">
        <v>19805.04</v>
      </c>
      <c r="O14" s="45">
        <v>326577.19999999995</v>
      </c>
      <c r="P14" s="45">
        <v>4408.58</v>
      </c>
      <c r="Q14" s="45">
        <v>463.12</v>
      </c>
      <c r="R14" s="45">
        <v>20579.539999999997</v>
      </c>
      <c r="S14" s="45">
        <v>243809.79000000004</v>
      </c>
      <c r="T14" s="45">
        <v>5497.86</v>
      </c>
      <c r="U14" s="45">
        <v>8022.1699999999983</v>
      </c>
      <c r="V14" s="45">
        <v>10944.13</v>
      </c>
      <c r="W14" s="45">
        <v>463339.15</v>
      </c>
      <c r="X14" s="45">
        <v>40688.450000000004</v>
      </c>
      <c r="AA14" s="45">
        <v>13683.06</v>
      </c>
      <c r="AB14" s="45">
        <v>177043.64</v>
      </c>
      <c r="AC14" s="45">
        <v>345099.99999999994</v>
      </c>
      <c r="AD14" s="45">
        <v>70793.820000000007</v>
      </c>
      <c r="AG14" s="45">
        <v>160700.11000000002</v>
      </c>
      <c r="AH14" s="45">
        <v>1235.03</v>
      </c>
      <c r="AI14" s="45">
        <v>27006.27</v>
      </c>
      <c r="AJ14" s="45">
        <v>42957.18</v>
      </c>
      <c r="AK14" s="45">
        <v>49999.999999999993</v>
      </c>
      <c r="AL14" s="45">
        <v>2554</v>
      </c>
      <c r="AM14" s="45">
        <v>2779.5</v>
      </c>
      <c r="AN14" s="45">
        <v>22504.86</v>
      </c>
      <c r="AO14" s="45">
        <v>2074.3200000000002</v>
      </c>
      <c r="AQ14" s="45">
        <v>8503.7999999999993</v>
      </c>
      <c r="AR14" s="45">
        <v>6681.91</v>
      </c>
      <c r="AS14" s="45">
        <v>2976</v>
      </c>
      <c r="AT14" s="45">
        <v>28858.419999999991</v>
      </c>
      <c r="AV14" s="45">
        <v>10417.700000000001</v>
      </c>
      <c r="AW14" s="45">
        <v>6973.9400000000014</v>
      </c>
      <c r="AY14" s="45">
        <v>423142.73000000004</v>
      </c>
      <c r="AZ14" s="45">
        <v>61051.99</v>
      </c>
      <c r="BA14" s="45">
        <v>60000</v>
      </c>
      <c r="BB14" s="45">
        <v>78738.239999999991</v>
      </c>
      <c r="BE14" s="2">
        <f t="shared" si="0"/>
        <v>6500831.1900000023</v>
      </c>
      <c r="BG14" s="341"/>
      <c r="BH14" s="341">
        <v>663.44</v>
      </c>
      <c r="BI14" s="341">
        <v>148960.76</v>
      </c>
      <c r="BJ14" s="341"/>
      <c r="BK14" s="341">
        <v>16</v>
      </c>
      <c r="BL14" s="341"/>
      <c r="BM14" s="341">
        <v>9068.39</v>
      </c>
      <c r="BN14" s="341">
        <v>3515.3</v>
      </c>
      <c r="BO14" s="341">
        <v>422056.28999999992</v>
      </c>
      <c r="BP14" s="341">
        <v>514.66999999999996</v>
      </c>
      <c r="BQ14" s="341"/>
      <c r="BR14" s="341"/>
      <c r="BS14" s="341">
        <v>28325</v>
      </c>
      <c r="BT14" s="341"/>
      <c r="BU14" s="341">
        <v>8706.74</v>
      </c>
      <c r="BV14" s="341"/>
      <c r="BW14" s="341"/>
      <c r="BX14" s="341"/>
      <c r="BY14" s="341">
        <v>10056.69</v>
      </c>
      <c r="BZ14" s="341"/>
      <c r="CA14" s="341"/>
      <c r="CB14" s="347"/>
      <c r="CC14" s="341"/>
      <c r="CD14" s="341">
        <v>89398.22</v>
      </c>
      <c r="CE14" s="341">
        <v>86270.860000000015</v>
      </c>
      <c r="CF14" s="341"/>
      <c r="CG14" s="341"/>
      <c r="CH14" s="341"/>
      <c r="CI14" s="341">
        <v>352042.47000000003</v>
      </c>
      <c r="CJ14" s="341">
        <v>9128.83</v>
      </c>
      <c r="CK14" s="341"/>
      <c r="CL14" s="341"/>
      <c r="CM14" s="341"/>
      <c r="CN14" s="341"/>
      <c r="CO14" s="341">
        <v>40000</v>
      </c>
      <c r="CP14" s="347">
        <v>6694</v>
      </c>
      <c r="CQ14" s="341"/>
      <c r="CR14" s="342">
        <f t="shared" si="1"/>
        <v>1056709.0699999998</v>
      </c>
    </row>
    <row r="15" spans="1:96" x14ac:dyDescent="0.25">
      <c r="A15" s="45" t="s">
        <v>352</v>
      </c>
      <c r="B15" s="45">
        <v>-25753.83</v>
      </c>
      <c r="C15" s="45">
        <v>-8607.76</v>
      </c>
      <c r="D15" s="45">
        <v>94306</v>
      </c>
      <c r="E15" s="45">
        <v>5022.37</v>
      </c>
      <c r="G15" s="45">
        <v>29096.68</v>
      </c>
      <c r="H15" s="45">
        <v>857811</v>
      </c>
      <c r="J15" s="45">
        <v>85821.62000000001</v>
      </c>
      <c r="K15" s="45">
        <v>284232.71000000002</v>
      </c>
      <c r="L15" s="45">
        <v>362912.45999999996</v>
      </c>
      <c r="M15" s="45">
        <v>70832.439999999988</v>
      </c>
      <c r="O15" s="45">
        <v>177703.13</v>
      </c>
      <c r="Q15" s="45">
        <v>10290.160000000002</v>
      </c>
      <c r="R15" s="45">
        <v>30279.359999999993</v>
      </c>
      <c r="S15" s="45">
        <v>195421.27000000002</v>
      </c>
      <c r="U15" s="45">
        <v>5156.92</v>
      </c>
      <c r="V15" s="45">
        <v>9915.4800000000014</v>
      </c>
      <c r="W15" s="45">
        <v>277041.68</v>
      </c>
      <c r="X15" s="45">
        <v>53274.82</v>
      </c>
      <c r="AA15" s="45">
        <v>11931.82</v>
      </c>
      <c r="AB15" s="45">
        <v>96377.76</v>
      </c>
      <c r="AC15" s="45">
        <v>195350</v>
      </c>
      <c r="AD15" s="45">
        <v>40074.1</v>
      </c>
      <c r="AG15" s="45">
        <v>72698.559999999998</v>
      </c>
      <c r="AH15" s="45">
        <v>1729.05</v>
      </c>
      <c r="AI15" s="45">
        <v>18345.54</v>
      </c>
      <c r="AJ15" s="45">
        <v>22273.409999999996</v>
      </c>
      <c r="AK15" s="45">
        <v>49999.999999999993</v>
      </c>
      <c r="AL15" s="45">
        <v>1017.25</v>
      </c>
      <c r="AM15" s="45">
        <v>2355</v>
      </c>
      <c r="AN15" s="45">
        <v>10695.1</v>
      </c>
      <c r="AO15" s="45">
        <v>903.05</v>
      </c>
      <c r="AQ15" s="45">
        <v>25000</v>
      </c>
      <c r="AR15" s="45">
        <v>3716.57</v>
      </c>
      <c r="AS15" s="45">
        <v>1008</v>
      </c>
      <c r="AT15" s="45">
        <v>4213.829999999999</v>
      </c>
      <c r="AV15" s="45">
        <v>10000</v>
      </c>
      <c r="AW15" s="45">
        <v>1230.56</v>
      </c>
      <c r="AX15" s="45">
        <v>588.17999999999995</v>
      </c>
      <c r="AY15" s="45">
        <v>239245.08000000002</v>
      </c>
      <c r="AZ15" s="45">
        <v>61051.990000000005</v>
      </c>
      <c r="BA15" s="45">
        <v>60000</v>
      </c>
      <c r="BE15" s="2">
        <f t="shared" si="0"/>
        <v>3444561.36</v>
      </c>
      <c r="BG15" s="341"/>
      <c r="BH15" s="341">
        <v>663.44</v>
      </c>
      <c r="BI15" s="341">
        <v>91343.210000000021</v>
      </c>
      <c r="BJ15" s="341"/>
      <c r="BK15" s="341"/>
      <c r="BL15" s="341"/>
      <c r="BM15" s="341">
        <v>7254.71</v>
      </c>
      <c r="BN15" s="341">
        <v>484.9</v>
      </c>
      <c r="BO15" s="341">
        <v>198878.67</v>
      </c>
      <c r="BP15" s="341">
        <v>370.40999999999997</v>
      </c>
      <c r="BQ15" s="341"/>
      <c r="BR15" s="341"/>
      <c r="BS15" s="341">
        <v>16500</v>
      </c>
      <c r="BT15" s="341"/>
      <c r="BU15" s="341"/>
      <c r="BV15" s="341"/>
      <c r="BW15" s="341"/>
      <c r="BX15" s="341"/>
      <c r="BY15" s="341">
        <v>3352.23</v>
      </c>
      <c r="BZ15" s="341"/>
      <c r="CA15" s="341"/>
      <c r="CB15" s="347"/>
      <c r="CC15" s="341"/>
      <c r="CD15" s="341">
        <v>146491.47999999998</v>
      </c>
      <c r="CE15" s="341"/>
      <c r="CF15" s="341">
        <v>1076.5</v>
      </c>
      <c r="CG15" s="341"/>
      <c r="CH15" s="341"/>
      <c r="CI15" s="341"/>
      <c r="CJ15" s="341"/>
      <c r="CK15" s="341"/>
      <c r="CL15" s="341"/>
      <c r="CM15" s="341">
        <v>9623.0400000000009</v>
      </c>
      <c r="CN15" s="341"/>
      <c r="CO15" s="341">
        <v>80000</v>
      </c>
      <c r="CP15" s="347">
        <v>3376</v>
      </c>
      <c r="CQ15" s="341"/>
      <c r="CR15" s="342">
        <f t="shared" si="1"/>
        <v>460153.23</v>
      </c>
    </row>
    <row r="16" spans="1:96" x14ac:dyDescent="0.25">
      <c r="A16" s="45" t="s">
        <v>14</v>
      </c>
      <c r="B16" s="45">
        <v>-8949.3499999999985</v>
      </c>
      <c r="C16" s="45">
        <v>-687.47</v>
      </c>
      <c r="D16" s="45">
        <v>94306</v>
      </c>
      <c r="E16" s="45">
        <v>4168.3</v>
      </c>
      <c r="G16" s="45">
        <v>29096.68</v>
      </c>
      <c r="H16" s="45">
        <v>766114.00000000012</v>
      </c>
      <c r="I16" s="45">
        <v>110</v>
      </c>
      <c r="J16" s="45">
        <v>93727.180000000008</v>
      </c>
      <c r="K16" s="45">
        <v>229727.90999999997</v>
      </c>
      <c r="L16" s="45">
        <v>380952.82</v>
      </c>
      <c r="M16" s="45">
        <v>76063.69</v>
      </c>
      <c r="N16" s="45">
        <v>4193.9799999999996</v>
      </c>
      <c r="O16" s="45">
        <v>90673.98</v>
      </c>
      <c r="P16" s="45">
        <v>3552.1</v>
      </c>
      <c r="Q16" s="45">
        <v>1270.6400000000001</v>
      </c>
      <c r="R16" s="45">
        <v>16434.02</v>
      </c>
      <c r="S16" s="45">
        <v>179339.81</v>
      </c>
      <c r="V16" s="45">
        <v>2090.4</v>
      </c>
      <c r="W16" s="45">
        <v>320668.27</v>
      </c>
      <c r="X16" s="45">
        <v>12479.199999999997</v>
      </c>
      <c r="AA16" s="45">
        <v>11643.09</v>
      </c>
      <c r="AB16" s="45">
        <v>89166.16</v>
      </c>
      <c r="AC16" s="45">
        <v>102954.99999999997</v>
      </c>
      <c r="AD16" s="45">
        <v>21120.19</v>
      </c>
      <c r="AG16" s="45">
        <v>73030.969999999987</v>
      </c>
      <c r="AH16" s="45">
        <v>494.01</v>
      </c>
      <c r="AI16" s="45">
        <v>16982.54</v>
      </c>
      <c r="AJ16" s="45">
        <v>20047.210000000003</v>
      </c>
      <c r="AK16" s="45">
        <v>49999.999999999993</v>
      </c>
      <c r="AL16" s="45">
        <v>1267.25</v>
      </c>
      <c r="AM16" s="45">
        <v>3450</v>
      </c>
      <c r="AN16" s="45">
        <v>9303.0499999999993</v>
      </c>
      <c r="AO16" s="45">
        <v>923.37</v>
      </c>
      <c r="AR16" s="45">
        <v>3563.84</v>
      </c>
      <c r="AT16" s="45">
        <v>7376.869999999999</v>
      </c>
      <c r="AV16" s="45">
        <v>10000</v>
      </c>
      <c r="AW16" s="45">
        <v>6557.2099999999991</v>
      </c>
      <c r="AY16" s="45">
        <v>229891.84000000003</v>
      </c>
      <c r="AZ16" s="45">
        <v>61051.990000000005</v>
      </c>
      <c r="BA16" s="45">
        <v>139908</v>
      </c>
      <c r="BE16" s="2">
        <f t="shared" si="0"/>
        <v>3154064.75</v>
      </c>
      <c r="BG16" s="341"/>
      <c r="BH16" s="341">
        <v>663.44</v>
      </c>
      <c r="BI16" s="341">
        <v>57167.42</v>
      </c>
      <c r="BJ16" s="341"/>
      <c r="BK16" s="341"/>
      <c r="BL16" s="341">
        <v>135.1</v>
      </c>
      <c r="BM16" s="341">
        <v>4231.91</v>
      </c>
      <c r="BN16" s="341"/>
      <c r="BO16" s="341">
        <v>205792.91</v>
      </c>
      <c r="BP16" s="341">
        <v>192.39000000000001</v>
      </c>
      <c r="BQ16" s="341"/>
      <c r="BR16" s="341"/>
      <c r="BS16" s="341">
        <v>9625</v>
      </c>
      <c r="BT16" s="341"/>
      <c r="BU16" s="341"/>
      <c r="BV16" s="341"/>
      <c r="BW16" s="341"/>
      <c r="BX16" s="341"/>
      <c r="BY16" s="341">
        <v>13408.92</v>
      </c>
      <c r="BZ16" s="341"/>
      <c r="CA16" s="341"/>
      <c r="CB16" s="347"/>
      <c r="CC16" s="341"/>
      <c r="CD16" s="341">
        <v>82983.999999999985</v>
      </c>
      <c r="CE16" s="341"/>
      <c r="CF16" s="341">
        <v>1076.5</v>
      </c>
      <c r="CG16" s="341"/>
      <c r="CH16" s="341"/>
      <c r="CI16" s="341"/>
      <c r="CJ16" s="341"/>
      <c r="CK16" s="341"/>
      <c r="CL16" s="341"/>
      <c r="CM16" s="341">
        <v>1804.32</v>
      </c>
      <c r="CN16" s="341"/>
      <c r="CO16" s="341">
        <v>40000</v>
      </c>
      <c r="CP16" s="347">
        <v>3101</v>
      </c>
      <c r="CQ16" s="341"/>
      <c r="CR16" s="342">
        <f t="shared" si="1"/>
        <v>357985.04000000004</v>
      </c>
    </row>
    <row r="17" spans="1:96" x14ac:dyDescent="0.25">
      <c r="A17" s="45" t="s">
        <v>15</v>
      </c>
      <c r="B17" s="45">
        <v>-8367.5499999999993</v>
      </c>
      <c r="C17" s="45">
        <v>-550.02</v>
      </c>
      <c r="D17" s="45">
        <v>141459</v>
      </c>
      <c r="E17" s="45">
        <v>6367.6900000000005</v>
      </c>
      <c r="F17" s="45">
        <v>621.25</v>
      </c>
      <c r="G17" s="45">
        <v>29096.68</v>
      </c>
      <c r="H17" s="45">
        <v>1088668</v>
      </c>
      <c r="J17" s="45">
        <v>107188.26999999999</v>
      </c>
      <c r="K17" s="45">
        <v>344470.41</v>
      </c>
      <c r="L17" s="45">
        <v>591508.61</v>
      </c>
      <c r="M17" s="45">
        <v>106487.29000000001</v>
      </c>
      <c r="N17" s="45">
        <v>5298.59</v>
      </c>
      <c r="O17" s="45">
        <v>148814.19</v>
      </c>
      <c r="P17" s="45">
        <v>144.32</v>
      </c>
      <c r="Q17" s="45">
        <v>8808.1</v>
      </c>
      <c r="R17" s="45">
        <v>10865.21</v>
      </c>
      <c r="S17" s="45">
        <v>171616.68999999997</v>
      </c>
      <c r="T17" s="45">
        <v>8032.3100000000013</v>
      </c>
      <c r="U17" s="45">
        <v>5731.5499999999993</v>
      </c>
      <c r="V17" s="45">
        <v>4865.22</v>
      </c>
      <c r="W17" s="45">
        <v>413269.66000000009</v>
      </c>
      <c r="X17" s="45">
        <v>64531.51</v>
      </c>
      <c r="AA17" s="45">
        <v>12508.21</v>
      </c>
      <c r="AB17" s="45">
        <v>115001.54000000001</v>
      </c>
      <c r="AC17" s="45">
        <v>210350</v>
      </c>
      <c r="AD17" s="45">
        <v>43151.200000000004</v>
      </c>
      <c r="AG17" s="45">
        <v>108177.89</v>
      </c>
      <c r="AH17" s="45">
        <v>2223.06</v>
      </c>
      <c r="AI17" s="45">
        <v>17942</v>
      </c>
      <c r="AJ17" s="45">
        <v>29344.5</v>
      </c>
      <c r="AK17" s="45">
        <v>49999.999999999993</v>
      </c>
      <c r="AL17" s="45">
        <v>1683.25</v>
      </c>
      <c r="AM17" s="45">
        <v>3545</v>
      </c>
      <c r="AN17" s="45">
        <v>23606.570000000003</v>
      </c>
      <c r="AO17" s="45">
        <v>1328.98</v>
      </c>
      <c r="AR17" s="45">
        <v>4856.1899999999996</v>
      </c>
      <c r="AS17" s="45">
        <v>2206</v>
      </c>
      <c r="AT17" s="45">
        <v>25812.600000000006</v>
      </c>
      <c r="AV17" s="45">
        <v>10000</v>
      </c>
      <c r="AW17" s="45">
        <v>3876.0099999999998</v>
      </c>
      <c r="AY17" s="45">
        <v>258827</v>
      </c>
      <c r="AZ17" s="45">
        <v>61051.99</v>
      </c>
      <c r="BA17" s="45">
        <v>143000</v>
      </c>
      <c r="BE17" s="2">
        <f t="shared" si="0"/>
        <v>4377418.97</v>
      </c>
      <c r="BG17" s="341"/>
      <c r="BH17" s="341">
        <v>663.44</v>
      </c>
      <c r="BI17" s="341">
        <v>69534.640000000014</v>
      </c>
      <c r="BJ17" s="341"/>
      <c r="BK17" s="341"/>
      <c r="BL17" s="341">
        <v>235.37</v>
      </c>
      <c r="BM17" s="341">
        <v>4836.47</v>
      </c>
      <c r="BN17" s="341"/>
      <c r="BO17" s="341">
        <v>257345.43</v>
      </c>
      <c r="BP17" s="341">
        <v>207.17000000000002</v>
      </c>
      <c r="BQ17" s="341"/>
      <c r="BR17" s="341">
        <v>315750</v>
      </c>
      <c r="BS17" s="341">
        <v>18150</v>
      </c>
      <c r="BT17" s="341"/>
      <c r="BU17" s="341"/>
      <c r="BV17" s="341"/>
      <c r="BW17" s="341"/>
      <c r="BX17" s="341"/>
      <c r="BY17" s="341">
        <v>5028.3500000000004</v>
      </c>
      <c r="BZ17" s="341"/>
      <c r="CA17" s="341"/>
      <c r="CB17" s="347"/>
      <c r="CC17" s="341"/>
      <c r="CD17" s="341">
        <v>90200</v>
      </c>
      <c r="CE17" s="341">
        <v>19239</v>
      </c>
      <c r="CF17" s="341">
        <v>1076.5</v>
      </c>
      <c r="CG17" s="341"/>
      <c r="CH17" s="341"/>
      <c r="CI17" s="341"/>
      <c r="CJ17" s="341"/>
      <c r="CK17" s="341"/>
      <c r="CL17" s="341"/>
      <c r="CM17" s="341">
        <v>3266.6800000000003</v>
      </c>
      <c r="CN17" s="341"/>
      <c r="CO17" s="341"/>
      <c r="CP17" s="347">
        <v>4305</v>
      </c>
      <c r="CQ17" s="341"/>
      <c r="CR17" s="342">
        <f t="shared" si="1"/>
        <v>714568.13</v>
      </c>
    </row>
    <row r="18" spans="1:96" x14ac:dyDescent="0.25">
      <c r="A18" s="45" t="s">
        <v>16</v>
      </c>
      <c r="B18" s="45">
        <v>-64462.05999999999</v>
      </c>
      <c r="C18" s="45">
        <v>-9693.6299999999992</v>
      </c>
      <c r="D18" s="45">
        <v>188612</v>
      </c>
      <c r="E18" s="45">
        <v>15860.039999999999</v>
      </c>
      <c r="G18" s="45">
        <v>58193.35</v>
      </c>
      <c r="H18" s="45">
        <v>2878417.9999999995</v>
      </c>
      <c r="J18" s="45">
        <v>292578.27</v>
      </c>
      <c r="K18" s="45">
        <v>834946.44</v>
      </c>
      <c r="L18" s="45">
        <v>1497816.8099999998</v>
      </c>
      <c r="M18" s="45">
        <v>378643.19</v>
      </c>
      <c r="N18" s="45">
        <v>51957.320000000007</v>
      </c>
      <c r="O18" s="45">
        <v>689814.02999999991</v>
      </c>
      <c r="Q18" s="45">
        <v>6776.54</v>
      </c>
      <c r="R18" s="45">
        <v>61083.81</v>
      </c>
      <c r="S18" s="45">
        <v>401438.18999999994</v>
      </c>
      <c r="T18" s="45">
        <v>16364.009999999998</v>
      </c>
      <c r="U18" s="45">
        <v>7262.6900000000005</v>
      </c>
      <c r="V18" s="45">
        <v>17319.11</v>
      </c>
      <c r="W18" s="45">
        <v>991412.67</v>
      </c>
      <c r="X18" s="45">
        <v>106419.11</v>
      </c>
      <c r="AA18" s="45">
        <v>16087.5</v>
      </c>
      <c r="AB18" s="45">
        <v>275286.25</v>
      </c>
      <c r="AC18" s="45">
        <v>528440</v>
      </c>
      <c r="AD18" s="45">
        <v>108404.20000000003</v>
      </c>
      <c r="AG18" s="45">
        <v>257833.94</v>
      </c>
      <c r="AH18" s="45">
        <v>2470.0700000000002</v>
      </c>
      <c r="AI18" s="45">
        <v>43316.19</v>
      </c>
      <c r="AJ18" s="45">
        <v>71715.829999999987</v>
      </c>
      <c r="AK18" s="45">
        <v>100000.00000000001</v>
      </c>
      <c r="AL18" s="45">
        <v>4729.5</v>
      </c>
      <c r="AM18" s="45">
        <v>2966.5</v>
      </c>
      <c r="AN18" s="45">
        <v>20248.070000000003</v>
      </c>
      <c r="AO18" s="45">
        <v>3119.95</v>
      </c>
      <c r="AQ18" s="45">
        <v>8914.8799999999992</v>
      </c>
      <c r="AS18" s="45">
        <v>912</v>
      </c>
      <c r="AT18" s="45">
        <v>59003.819999999992</v>
      </c>
      <c r="AV18" s="45">
        <v>33784.1</v>
      </c>
      <c r="AW18" s="45">
        <v>23919.889999999992</v>
      </c>
      <c r="AY18" s="45">
        <v>688667.92</v>
      </c>
      <c r="AZ18" s="45">
        <v>122103.98000000001</v>
      </c>
      <c r="BA18" s="45">
        <v>76155</v>
      </c>
      <c r="BB18" s="45">
        <v>60640</v>
      </c>
      <c r="BE18" s="2">
        <f t="shared" si="0"/>
        <v>10929479.48</v>
      </c>
      <c r="BG18" s="341"/>
      <c r="BH18" s="341">
        <v>663.44</v>
      </c>
      <c r="BI18" s="341">
        <v>219112.90000000002</v>
      </c>
      <c r="BJ18" s="341"/>
      <c r="BK18" s="341"/>
      <c r="BL18" s="341">
        <v>1186.4100000000001</v>
      </c>
      <c r="BM18" s="341">
        <v>13904.86</v>
      </c>
      <c r="BN18" s="341">
        <v>9131.25</v>
      </c>
      <c r="BO18" s="341">
        <v>616496.99999999988</v>
      </c>
      <c r="BP18" s="341">
        <v>711.51</v>
      </c>
      <c r="BQ18" s="341"/>
      <c r="BR18" s="341">
        <v>225250</v>
      </c>
      <c r="BS18" s="341">
        <v>47025</v>
      </c>
      <c r="BT18" s="341">
        <v>30000</v>
      </c>
      <c r="BU18" s="341"/>
      <c r="BV18" s="341">
        <v>5000</v>
      </c>
      <c r="BW18" s="341"/>
      <c r="BX18" s="341"/>
      <c r="BY18" s="341">
        <v>11732.810000000001</v>
      </c>
      <c r="BZ18" s="341"/>
      <c r="CA18" s="341"/>
      <c r="CB18" s="347"/>
      <c r="CC18" s="341"/>
      <c r="CD18" s="341">
        <v>175889.99999999997</v>
      </c>
      <c r="CE18" s="341">
        <v>64129.999999999985</v>
      </c>
      <c r="CF18" s="341">
        <v>1076.5</v>
      </c>
      <c r="CG18" s="341"/>
      <c r="CH18" s="341"/>
      <c r="CI18" s="341"/>
      <c r="CJ18" s="341"/>
      <c r="CK18" s="341"/>
      <c r="CL18" s="341"/>
      <c r="CM18" s="341"/>
      <c r="CN18" s="341"/>
      <c r="CO18" s="341"/>
      <c r="CP18" s="347">
        <v>11431</v>
      </c>
      <c r="CQ18" s="341"/>
      <c r="CR18" s="342">
        <f t="shared" si="1"/>
        <v>1197875.0699999998</v>
      </c>
    </row>
    <row r="19" spans="1:96" x14ac:dyDescent="0.25">
      <c r="A19" s="45" t="s">
        <v>353</v>
      </c>
      <c r="B19" s="45">
        <v>-113827.3</v>
      </c>
      <c r="C19" s="45">
        <v>-13914.09</v>
      </c>
      <c r="D19" s="45">
        <v>801601</v>
      </c>
      <c r="E19" s="45">
        <v>157123.39000000001</v>
      </c>
      <c r="F19" s="45">
        <v>3727.5</v>
      </c>
      <c r="G19" s="45">
        <v>698320.22</v>
      </c>
      <c r="H19" s="45">
        <v>7319980</v>
      </c>
      <c r="I19" s="45">
        <v>4105</v>
      </c>
      <c r="J19" s="45">
        <v>795888.3600000001</v>
      </c>
      <c r="K19" s="45">
        <v>2424338.52</v>
      </c>
      <c r="L19" s="45">
        <v>4068800.12</v>
      </c>
      <c r="M19" s="45">
        <v>1049573.4000000001</v>
      </c>
      <c r="N19" s="45">
        <v>28482.159999999996</v>
      </c>
      <c r="O19" s="45">
        <v>796208.62999999989</v>
      </c>
      <c r="P19" s="45">
        <v>9908.57</v>
      </c>
      <c r="Q19" s="45">
        <v>31391.72</v>
      </c>
      <c r="R19" s="45">
        <v>25029.78</v>
      </c>
      <c r="S19" s="45">
        <v>923447.41</v>
      </c>
      <c r="T19" s="45">
        <v>31386.289999999997</v>
      </c>
      <c r="U19" s="45">
        <v>24383.809999999998</v>
      </c>
      <c r="V19" s="45">
        <v>23124.45</v>
      </c>
      <c r="W19" s="45">
        <v>2717525.1200000006</v>
      </c>
      <c r="X19" s="45">
        <v>189256.83000000002</v>
      </c>
      <c r="Z19" s="45">
        <v>24500</v>
      </c>
      <c r="AA19" s="45">
        <v>70909.33</v>
      </c>
      <c r="AB19" s="45">
        <v>2104233.2799999998</v>
      </c>
      <c r="AC19" s="45">
        <v>5817551.9999999981</v>
      </c>
      <c r="AD19" s="45">
        <v>1193412.7600000002</v>
      </c>
      <c r="AG19" s="45">
        <v>529805.14</v>
      </c>
      <c r="AH19" s="45">
        <v>24947.66</v>
      </c>
      <c r="AI19" s="45">
        <v>304405.27999999997</v>
      </c>
      <c r="AJ19" s="45">
        <v>683138.24999999988</v>
      </c>
      <c r="AK19" s="45">
        <v>573604.54</v>
      </c>
      <c r="AL19" s="45">
        <v>44629.5</v>
      </c>
      <c r="AM19" s="45">
        <v>80175</v>
      </c>
      <c r="AN19" s="45">
        <v>23341.59</v>
      </c>
      <c r="AO19" s="45">
        <v>31703.96</v>
      </c>
      <c r="AQ19" s="45">
        <v>46029.78</v>
      </c>
      <c r="AR19" s="45">
        <v>110602.82</v>
      </c>
      <c r="AS19" s="45">
        <v>38631</v>
      </c>
      <c r="AT19" s="45">
        <v>335890.85</v>
      </c>
      <c r="AU19" s="45">
        <v>147331</v>
      </c>
      <c r="AV19" s="45">
        <v>122336.5</v>
      </c>
      <c r="AW19" s="45">
        <v>377254.30999999994</v>
      </c>
      <c r="AX19" s="45">
        <v>882.27</v>
      </c>
      <c r="AY19" s="45">
        <v>1333830.4899999998</v>
      </c>
      <c r="AZ19" s="45">
        <v>1221039.7999999998</v>
      </c>
      <c r="BA19" s="45">
        <v>220000</v>
      </c>
      <c r="BC19" s="45">
        <v>45454.54</v>
      </c>
      <c r="BD19" s="45">
        <v>6818.17</v>
      </c>
      <c r="BE19" s="2">
        <f t="shared" si="0"/>
        <v>37508320.710000001</v>
      </c>
      <c r="BG19" s="341"/>
      <c r="BH19" s="341">
        <v>2565.31</v>
      </c>
      <c r="BI19" s="341">
        <v>1200977.3999999999</v>
      </c>
      <c r="BJ19" s="341"/>
      <c r="BK19" s="341"/>
      <c r="BL19" s="341"/>
      <c r="BM19" s="341">
        <v>76779.009999999995</v>
      </c>
      <c r="BN19" s="341">
        <v>8695.42</v>
      </c>
      <c r="BO19" s="341">
        <v>5311709.0500000007</v>
      </c>
      <c r="BP19" s="341">
        <v>2658.0699999999997</v>
      </c>
      <c r="BQ19" s="341"/>
      <c r="BR19" s="341">
        <v>230000</v>
      </c>
      <c r="BS19" s="341">
        <v>477400</v>
      </c>
      <c r="BT19" s="341"/>
      <c r="BU19" s="341">
        <v>1111.5</v>
      </c>
      <c r="BV19" s="341"/>
      <c r="BW19" s="341"/>
      <c r="BX19" s="341"/>
      <c r="BY19" s="341">
        <v>164259.29999999999</v>
      </c>
      <c r="BZ19" s="341"/>
      <c r="CA19" s="341"/>
      <c r="CB19" s="347"/>
      <c r="CC19" s="341"/>
      <c r="CD19" s="341"/>
      <c r="CE19" s="341">
        <v>1064558</v>
      </c>
      <c r="CF19" s="341">
        <v>1076.5</v>
      </c>
      <c r="CG19" s="341">
        <v>739932.25000000023</v>
      </c>
      <c r="CH19" s="341"/>
      <c r="CI19" s="341">
        <v>512426.90999999992</v>
      </c>
      <c r="CJ19" s="341">
        <v>14268.26</v>
      </c>
      <c r="CK19" s="341"/>
      <c r="CL19" s="341"/>
      <c r="CM19" s="341"/>
      <c r="CN19" s="341"/>
      <c r="CO19" s="341"/>
      <c r="CP19" s="347">
        <v>28095</v>
      </c>
      <c r="CQ19" s="341"/>
      <c r="CR19" s="342">
        <f t="shared" si="1"/>
        <v>8556190.2599999998</v>
      </c>
    </row>
    <row r="20" spans="1:96" x14ac:dyDescent="0.25">
      <c r="A20" s="45" t="s">
        <v>354</v>
      </c>
      <c r="B20" s="45">
        <v>-400994.86</v>
      </c>
      <c r="C20" s="45">
        <v>-117139.16</v>
      </c>
      <c r="D20" s="45">
        <v>1320284</v>
      </c>
      <c r="E20" s="45">
        <v>251523.80999999994</v>
      </c>
      <c r="G20" s="45">
        <v>843803.60000000009</v>
      </c>
      <c r="H20" s="45">
        <v>39272859</v>
      </c>
      <c r="I20" s="45">
        <v>55</v>
      </c>
      <c r="J20" s="45">
        <v>4297743.0600000015</v>
      </c>
      <c r="K20" s="45">
        <v>13209153.920000002</v>
      </c>
      <c r="L20" s="45">
        <v>23171305.319999997</v>
      </c>
      <c r="M20" s="45">
        <v>7074159.3200000012</v>
      </c>
      <c r="N20" s="45">
        <v>298649.5</v>
      </c>
      <c r="O20" s="45">
        <v>4410360.3000000007</v>
      </c>
      <c r="P20" s="45">
        <v>29045.659999999996</v>
      </c>
      <c r="Q20" s="45">
        <v>414286.62</v>
      </c>
      <c r="R20" s="45">
        <v>315211.96999999991</v>
      </c>
      <c r="S20" s="45">
        <v>6532568.7000000011</v>
      </c>
      <c r="T20" s="45">
        <v>391909.4800000001</v>
      </c>
      <c r="U20" s="45">
        <v>136269.85999999999</v>
      </c>
      <c r="V20" s="45">
        <v>132237.09000000003</v>
      </c>
      <c r="W20" s="45">
        <v>11826760.470000001</v>
      </c>
      <c r="X20" s="45">
        <v>2373683.9699999997</v>
      </c>
      <c r="Z20" s="45">
        <v>37585</v>
      </c>
      <c r="AA20" s="45">
        <v>107921.9</v>
      </c>
      <c r="AB20" s="45">
        <v>3401268.76</v>
      </c>
      <c r="AC20" s="45">
        <v>7658684.9999999981</v>
      </c>
      <c r="AD20" s="45">
        <v>1571102.8399999999</v>
      </c>
      <c r="AG20" s="45">
        <v>3188414.5200000005</v>
      </c>
      <c r="AH20" s="45">
        <v>35321.93</v>
      </c>
      <c r="AI20" s="45">
        <v>482002.98000000004</v>
      </c>
      <c r="AJ20" s="45">
        <v>1090325.8299999998</v>
      </c>
      <c r="AK20" s="45">
        <v>912166.29999999993</v>
      </c>
      <c r="AL20" s="45">
        <v>66513</v>
      </c>
      <c r="AM20" s="45">
        <v>107235</v>
      </c>
      <c r="AN20" s="45">
        <v>117550.34</v>
      </c>
      <c r="AO20" s="45">
        <v>49704.52</v>
      </c>
      <c r="AQ20" s="45">
        <v>37712.019999999997</v>
      </c>
      <c r="AS20" s="45">
        <v>62092</v>
      </c>
      <c r="AT20" s="45">
        <v>1500337.6799999997</v>
      </c>
      <c r="AU20" s="45">
        <v>15802</v>
      </c>
      <c r="AV20" s="45">
        <v>48219.55</v>
      </c>
      <c r="AW20" s="45">
        <v>973433.81999999983</v>
      </c>
      <c r="AX20" s="45">
        <v>2940.9</v>
      </c>
      <c r="AY20" s="45">
        <v>7410379.1600000011</v>
      </c>
      <c r="AZ20" s="45">
        <v>1702031.5999999999</v>
      </c>
      <c r="BA20" s="45">
        <v>60000</v>
      </c>
      <c r="BE20" s="2">
        <f t="shared" si="0"/>
        <v>146422483.28000006</v>
      </c>
      <c r="BG20" s="341">
        <v>8525.4699999999993</v>
      </c>
      <c r="BH20" s="341">
        <v>4489.29</v>
      </c>
      <c r="BI20" s="341">
        <v>2322188.2000000002</v>
      </c>
      <c r="BJ20" s="341"/>
      <c r="BK20" s="341">
        <v>1264</v>
      </c>
      <c r="BL20" s="341">
        <v>6840.49</v>
      </c>
      <c r="BM20" s="341">
        <v>115470.79</v>
      </c>
      <c r="BN20" s="341">
        <v>35943.870000000003</v>
      </c>
      <c r="BO20" s="341">
        <v>7720948.9200000009</v>
      </c>
      <c r="BP20" s="341">
        <v>4102.05</v>
      </c>
      <c r="BQ20" s="341"/>
      <c r="BR20" s="341">
        <v>230000</v>
      </c>
      <c r="BS20" s="341">
        <v>623975</v>
      </c>
      <c r="BT20" s="341"/>
      <c r="BU20" s="341">
        <v>2042.51</v>
      </c>
      <c r="BV20" s="341">
        <v>5000</v>
      </c>
      <c r="BW20" s="341"/>
      <c r="BX20" s="341"/>
      <c r="BY20" s="341">
        <v>236332.27</v>
      </c>
      <c r="BZ20" s="341"/>
      <c r="CA20" s="341"/>
      <c r="CB20" s="347"/>
      <c r="CC20" s="341"/>
      <c r="CD20" s="341">
        <v>4036416.59</v>
      </c>
      <c r="CE20" s="341">
        <v>1536031.02</v>
      </c>
      <c r="CF20" s="341">
        <v>1076.5</v>
      </c>
      <c r="CG20" s="341"/>
      <c r="CH20" s="341"/>
      <c r="CI20" s="341">
        <v>441426.00000000012</v>
      </c>
      <c r="CJ20" s="341">
        <v>10792.16</v>
      </c>
      <c r="CK20" s="341"/>
      <c r="CL20" s="341"/>
      <c r="CM20" s="341"/>
      <c r="CN20" s="341"/>
      <c r="CO20" s="341"/>
      <c r="CP20" s="347">
        <v>156736</v>
      </c>
      <c r="CQ20" s="341"/>
      <c r="CR20" s="342">
        <f t="shared" si="1"/>
        <v>15040822.889999999</v>
      </c>
    </row>
    <row r="21" spans="1:96" x14ac:dyDescent="0.25">
      <c r="A21" s="45" t="s">
        <v>355</v>
      </c>
      <c r="B21" s="45">
        <v>-46181.58</v>
      </c>
      <c r="C21" s="45">
        <v>-4468.7299999999996</v>
      </c>
      <c r="D21" s="45">
        <v>94306</v>
      </c>
      <c r="E21" s="45">
        <v>13403.5</v>
      </c>
      <c r="G21" s="45">
        <v>58193.35</v>
      </c>
      <c r="H21" s="45">
        <v>1293724</v>
      </c>
      <c r="I21" s="45">
        <v>110</v>
      </c>
      <c r="J21" s="45">
        <v>133734.41999999998</v>
      </c>
      <c r="K21" s="45">
        <v>420726.61999999994</v>
      </c>
      <c r="L21" s="45">
        <v>712591.22</v>
      </c>
      <c r="M21" s="45">
        <v>136230.56</v>
      </c>
      <c r="N21" s="45">
        <v>12709.560000000001</v>
      </c>
      <c r="O21" s="45">
        <v>85276.229999999981</v>
      </c>
      <c r="P21" s="45">
        <v>285.96999999999997</v>
      </c>
      <c r="Q21" s="45">
        <v>20784.169999999998</v>
      </c>
      <c r="R21" s="45">
        <v>36627.009999999995</v>
      </c>
      <c r="S21" s="45">
        <v>316665.68000000005</v>
      </c>
      <c r="T21" s="45">
        <v>6838.9099999999989</v>
      </c>
      <c r="U21" s="45">
        <v>3273</v>
      </c>
      <c r="V21" s="45">
        <v>2598.02</v>
      </c>
      <c r="W21" s="45">
        <v>417963.04</v>
      </c>
      <c r="X21" s="45">
        <v>45821.959999999992</v>
      </c>
      <c r="AA21" s="45">
        <v>14990.52</v>
      </c>
      <c r="AB21" s="45">
        <v>222171.92000000004</v>
      </c>
      <c r="AC21" s="45">
        <v>428925.99999999988</v>
      </c>
      <c r="AD21" s="45">
        <v>87989.889999999985</v>
      </c>
      <c r="AG21" s="45">
        <v>115561</v>
      </c>
      <c r="AH21" s="45">
        <v>1729.05</v>
      </c>
      <c r="AI21" s="45">
        <v>34237.519999999997</v>
      </c>
      <c r="AJ21" s="45">
        <v>55633.30000000001</v>
      </c>
      <c r="AK21" s="45">
        <v>49999.999999999993</v>
      </c>
      <c r="AL21" s="45">
        <v>2974.75</v>
      </c>
      <c r="AM21" s="45">
        <v>3410</v>
      </c>
      <c r="AN21" s="45">
        <v>18122.3</v>
      </c>
      <c r="AO21" s="45">
        <v>2308.35</v>
      </c>
      <c r="AR21" s="45">
        <v>8121.49</v>
      </c>
      <c r="AS21" s="45">
        <v>1244</v>
      </c>
      <c r="AT21" s="45">
        <v>20682.290000000005</v>
      </c>
      <c r="AV21" s="45">
        <v>10000</v>
      </c>
      <c r="AW21" s="45">
        <v>11512.8</v>
      </c>
      <c r="AY21" s="45">
        <v>317939.21999999997</v>
      </c>
      <c r="AZ21" s="45">
        <v>122103.98000000001</v>
      </c>
      <c r="BA21" s="45">
        <v>67580</v>
      </c>
      <c r="BE21" s="2">
        <f t="shared" si="0"/>
        <v>5358451.2899999982</v>
      </c>
      <c r="BG21" s="341">
        <v>12335.1</v>
      </c>
      <c r="BH21" s="341">
        <v>663.44</v>
      </c>
      <c r="BI21" s="341">
        <v>187776.44000000003</v>
      </c>
      <c r="BJ21" s="341"/>
      <c r="BK21" s="341"/>
      <c r="BL21" s="341">
        <v>135.16</v>
      </c>
      <c r="BM21" s="341">
        <v>12695.74</v>
      </c>
      <c r="BN21" s="341">
        <v>3134.05</v>
      </c>
      <c r="BO21" s="341">
        <v>527876.34000000008</v>
      </c>
      <c r="BP21" s="341">
        <v>380.21999999999997</v>
      </c>
      <c r="BQ21" s="341"/>
      <c r="BR21" s="341"/>
      <c r="BS21" s="341">
        <v>36575</v>
      </c>
      <c r="BT21" s="341">
        <v>10000</v>
      </c>
      <c r="BU21" s="341"/>
      <c r="BV21" s="341"/>
      <c r="BW21" s="341"/>
      <c r="BX21" s="341"/>
      <c r="BY21" s="341">
        <v>13408.92</v>
      </c>
      <c r="BZ21" s="341"/>
      <c r="CA21" s="341"/>
      <c r="CB21" s="347"/>
      <c r="CC21" s="341"/>
      <c r="CD21" s="341">
        <v>412080.37000000011</v>
      </c>
      <c r="CE21" s="341">
        <v>48097.5</v>
      </c>
      <c r="CF21" s="341">
        <v>1076.5</v>
      </c>
      <c r="CG21" s="341"/>
      <c r="CH21" s="341"/>
      <c r="CI21" s="341"/>
      <c r="CJ21" s="341"/>
      <c r="CK21" s="341"/>
      <c r="CL21" s="341"/>
      <c r="CM21" s="341">
        <v>9021.6</v>
      </c>
      <c r="CN21" s="341">
        <v>10000</v>
      </c>
      <c r="CO21" s="341">
        <v>240000</v>
      </c>
      <c r="CP21" s="347">
        <v>5062</v>
      </c>
      <c r="CQ21" s="341"/>
      <c r="CR21" s="342">
        <f t="shared" si="1"/>
        <v>1316712.5000000005</v>
      </c>
    </row>
    <row r="22" spans="1:96" x14ac:dyDescent="0.25">
      <c r="A22" s="45" t="s">
        <v>356</v>
      </c>
      <c r="B22" s="45">
        <v>-556913.19999999995</v>
      </c>
      <c r="C22" s="45">
        <v>-32499.52</v>
      </c>
      <c r="D22" s="45">
        <v>1886120</v>
      </c>
      <c r="E22" s="45">
        <v>363285.91999999993</v>
      </c>
      <c r="F22" s="45">
        <v>5591.25</v>
      </c>
      <c r="G22" s="45">
        <v>1629413.85</v>
      </c>
      <c r="H22" s="45">
        <v>23691762</v>
      </c>
      <c r="I22" s="45">
        <v>618.32999999999993</v>
      </c>
      <c r="J22" s="45">
        <v>2998014.6599999997</v>
      </c>
      <c r="K22" s="45">
        <v>8882842.4299999997</v>
      </c>
      <c r="L22" s="45">
        <v>14127365.600000003</v>
      </c>
      <c r="M22" s="45">
        <v>5398350.8399999999</v>
      </c>
      <c r="N22" s="45">
        <v>204975.61</v>
      </c>
      <c r="O22" s="45">
        <v>1452785.6700000004</v>
      </c>
      <c r="P22" s="45">
        <v>45441.14</v>
      </c>
      <c r="Q22" s="45">
        <v>237783.31000000003</v>
      </c>
      <c r="R22" s="45">
        <v>243643.65999999997</v>
      </c>
      <c r="S22" s="45">
        <v>3941845.9400000004</v>
      </c>
      <c r="T22" s="45">
        <v>130616.61000000003</v>
      </c>
      <c r="U22" s="45">
        <v>116626.84999999999</v>
      </c>
      <c r="V22" s="45">
        <v>87128.92</v>
      </c>
      <c r="W22" s="45">
        <v>5347399.1000000006</v>
      </c>
      <c r="X22" s="45">
        <v>1362841.7300000002</v>
      </c>
      <c r="Y22" s="45">
        <v>70443.31</v>
      </c>
      <c r="Z22" s="45">
        <v>16123.449999999999</v>
      </c>
      <c r="AA22" s="45">
        <v>147529.4</v>
      </c>
      <c r="AB22" s="45">
        <v>4326726.96</v>
      </c>
      <c r="AC22" s="45">
        <v>11752759</v>
      </c>
      <c r="AD22" s="45">
        <v>2410961.2900000005</v>
      </c>
      <c r="AF22" s="45">
        <v>-1151.5899999999999</v>
      </c>
      <c r="AG22" s="45">
        <v>1747799.05</v>
      </c>
      <c r="AH22" s="45">
        <v>55082.45</v>
      </c>
      <c r="AI22" s="45">
        <v>664224.21</v>
      </c>
      <c r="AJ22" s="45">
        <v>1449306.6199999996</v>
      </c>
      <c r="AK22" s="45">
        <v>1084760.0100000002</v>
      </c>
      <c r="AL22" s="45">
        <v>84269.25</v>
      </c>
      <c r="AM22" s="45">
        <v>89156.5</v>
      </c>
      <c r="AN22" s="45">
        <v>70682.42</v>
      </c>
      <c r="AO22" s="45">
        <v>65464.76</v>
      </c>
      <c r="AQ22" s="45">
        <v>66603.58</v>
      </c>
      <c r="AR22" s="45">
        <v>193981.76</v>
      </c>
      <c r="AS22" s="45">
        <v>36840</v>
      </c>
      <c r="AT22" s="45">
        <v>1457545.5999999999</v>
      </c>
      <c r="AU22" s="45">
        <v>57604</v>
      </c>
      <c r="AV22" s="45">
        <v>39030.15</v>
      </c>
      <c r="AW22" s="45">
        <v>546803.52000000014</v>
      </c>
      <c r="AX22" s="45">
        <v>5881.79</v>
      </c>
      <c r="AY22" s="45">
        <v>4120880.78</v>
      </c>
      <c r="AZ22" s="45">
        <v>3041928.37</v>
      </c>
      <c r="BA22" s="45">
        <v>102000</v>
      </c>
      <c r="BB22" s="45">
        <v>298368</v>
      </c>
      <c r="BE22" s="2">
        <f t="shared" si="0"/>
        <v>105566645.34000003</v>
      </c>
      <c r="BG22" s="341"/>
      <c r="BH22" s="341">
        <v>9619.9</v>
      </c>
      <c r="BI22" s="341">
        <v>2455741.96</v>
      </c>
      <c r="BJ22" s="341">
        <v>276484.7</v>
      </c>
      <c r="BK22" s="341"/>
      <c r="BL22" s="341">
        <v>6702.54</v>
      </c>
      <c r="BM22" s="341">
        <v>145698.75</v>
      </c>
      <c r="BN22" s="341">
        <v>24117.64</v>
      </c>
      <c r="BO22" s="341">
        <v>10974167.780000001</v>
      </c>
      <c r="BP22" s="341">
        <v>5868.76</v>
      </c>
      <c r="BQ22" s="341"/>
      <c r="BR22" s="341">
        <v>2535000</v>
      </c>
      <c r="BS22" s="341">
        <v>1005125</v>
      </c>
      <c r="BT22" s="341"/>
      <c r="BU22" s="341"/>
      <c r="BV22" s="341">
        <v>14976.64</v>
      </c>
      <c r="BW22" s="341"/>
      <c r="BX22" s="341"/>
      <c r="BY22" s="341">
        <v>512891.3</v>
      </c>
      <c r="BZ22" s="341"/>
      <c r="CA22" s="341"/>
      <c r="CB22" s="347"/>
      <c r="CC22" s="341"/>
      <c r="CD22" s="341"/>
      <c r="CE22" s="341">
        <v>2448567.4099999997</v>
      </c>
      <c r="CF22" s="341">
        <v>10765</v>
      </c>
      <c r="CG22" s="341">
        <v>1657645.7700000003</v>
      </c>
      <c r="CH22" s="341"/>
      <c r="CI22" s="341">
        <v>445888.47</v>
      </c>
      <c r="CJ22" s="341">
        <v>67841.63</v>
      </c>
      <c r="CK22" s="341"/>
      <c r="CL22" s="341"/>
      <c r="CM22" s="341"/>
      <c r="CN22" s="341"/>
      <c r="CO22" s="341"/>
      <c r="CP22" s="347">
        <v>93755</v>
      </c>
      <c r="CQ22" s="341"/>
      <c r="CR22" s="342">
        <f t="shared" si="1"/>
        <v>19796610.399999999</v>
      </c>
    </row>
    <row r="23" spans="1:96" x14ac:dyDescent="0.25">
      <c r="A23" s="45" t="s">
        <v>357</v>
      </c>
      <c r="B23" s="45">
        <v>-79157.760000000009</v>
      </c>
      <c r="C23" s="45">
        <v>-22955.35</v>
      </c>
      <c r="D23" s="45">
        <v>377224</v>
      </c>
      <c r="E23" s="45">
        <v>64264.609999999993</v>
      </c>
      <c r="G23" s="45">
        <v>349160.11</v>
      </c>
      <c r="H23" s="45">
        <v>9688654</v>
      </c>
      <c r="I23" s="45">
        <v>815</v>
      </c>
      <c r="J23" s="45">
        <v>1017545.3300000001</v>
      </c>
      <c r="K23" s="45">
        <v>3229416.1399999997</v>
      </c>
      <c r="L23" s="45">
        <v>5462381.7599999998</v>
      </c>
      <c r="M23" s="45">
        <v>1623070.32</v>
      </c>
      <c r="N23" s="45">
        <v>54657.299999999988</v>
      </c>
      <c r="O23" s="45">
        <v>1417797.99</v>
      </c>
      <c r="P23" s="45">
        <v>23856.999999999996</v>
      </c>
      <c r="Q23" s="45">
        <v>69206.100000000006</v>
      </c>
      <c r="R23" s="45">
        <v>96222.59</v>
      </c>
      <c r="S23" s="45">
        <v>1513301.6499999997</v>
      </c>
      <c r="T23" s="45">
        <v>73954.799999999988</v>
      </c>
      <c r="U23" s="45">
        <v>43608.55</v>
      </c>
      <c r="V23" s="45">
        <v>15437.99</v>
      </c>
      <c r="W23" s="45">
        <v>2981216.36</v>
      </c>
      <c r="X23" s="45">
        <v>445034.19000000006</v>
      </c>
      <c r="AA23" s="45">
        <v>34435.14</v>
      </c>
      <c r="AB23" s="45">
        <v>1055174.1399999999</v>
      </c>
      <c r="AC23" s="45">
        <v>2096126.9999999995</v>
      </c>
      <c r="AD23" s="45">
        <v>429999.55000000005</v>
      </c>
      <c r="AG23" s="45">
        <v>895138.70000000007</v>
      </c>
      <c r="AH23" s="45">
        <v>10621.28</v>
      </c>
      <c r="AI23" s="45">
        <v>122350.75999999998</v>
      </c>
      <c r="AJ23" s="45">
        <v>278313.89999999997</v>
      </c>
      <c r="AK23" s="45">
        <v>178316.70999999996</v>
      </c>
      <c r="AL23" s="45">
        <v>17630.25</v>
      </c>
      <c r="AM23" s="45">
        <v>29145</v>
      </c>
      <c r="AN23" s="45">
        <v>42265.289999999994</v>
      </c>
      <c r="AO23" s="45">
        <v>12540.88</v>
      </c>
      <c r="AQ23" s="45">
        <v>15762.08</v>
      </c>
      <c r="AR23" s="45">
        <v>48135.9</v>
      </c>
      <c r="AS23" s="45">
        <v>17680</v>
      </c>
      <c r="AT23" s="45">
        <v>314624.77</v>
      </c>
      <c r="AV23" s="45">
        <v>23366.400000000001</v>
      </c>
      <c r="AW23" s="45">
        <v>151352.86999999997</v>
      </c>
      <c r="AX23" s="45">
        <v>588.17999999999995</v>
      </c>
      <c r="AY23" s="45">
        <v>2314734.0099999998</v>
      </c>
      <c r="AZ23" s="45">
        <v>732623.88</v>
      </c>
      <c r="BA23" s="45">
        <v>466100</v>
      </c>
      <c r="BE23" s="2">
        <f t="shared" si="0"/>
        <v>37731739.369999997</v>
      </c>
      <c r="BG23" s="341">
        <v>1978.35</v>
      </c>
      <c r="BH23" s="341">
        <v>1923.98</v>
      </c>
      <c r="BI23" s="341">
        <v>686805.38000000012</v>
      </c>
      <c r="BJ23" s="341"/>
      <c r="BK23" s="341"/>
      <c r="BL23" s="341">
        <v>7569.01</v>
      </c>
      <c r="BM23" s="341">
        <v>29623.4</v>
      </c>
      <c r="BN23" s="341">
        <v>14265.82</v>
      </c>
      <c r="BO23" s="341">
        <v>2388776.42</v>
      </c>
      <c r="BP23" s="341">
        <v>1904.81</v>
      </c>
      <c r="BQ23" s="341"/>
      <c r="BR23" s="341">
        <v>180000</v>
      </c>
      <c r="BS23" s="341">
        <v>181225</v>
      </c>
      <c r="BT23" s="341"/>
      <c r="BU23" s="341">
        <v>3797.6500000000005</v>
      </c>
      <c r="BV23" s="341"/>
      <c r="BW23" s="341">
        <v>66667</v>
      </c>
      <c r="BX23" s="341"/>
      <c r="BY23" s="341">
        <v>113975.84</v>
      </c>
      <c r="BZ23" s="341"/>
      <c r="CA23" s="341"/>
      <c r="CB23" s="347"/>
      <c r="CC23" s="341"/>
      <c r="CD23" s="341">
        <v>1107956.6699999997</v>
      </c>
      <c r="CE23" s="341">
        <v>330269.50000000006</v>
      </c>
      <c r="CF23" s="341">
        <v>1076.5</v>
      </c>
      <c r="CG23" s="341"/>
      <c r="CH23" s="341"/>
      <c r="CI23" s="341">
        <v>290750.96999999997</v>
      </c>
      <c r="CJ23" s="341">
        <v>2378.04</v>
      </c>
      <c r="CK23" s="341"/>
      <c r="CL23" s="341"/>
      <c r="CM23" s="341"/>
      <c r="CN23" s="341">
        <v>50000</v>
      </c>
      <c r="CO23" s="341"/>
      <c r="CP23" s="347">
        <v>38888</v>
      </c>
      <c r="CQ23" s="341"/>
      <c r="CR23" s="342">
        <f t="shared" si="1"/>
        <v>4771932.2199999988</v>
      </c>
    </row>
    <row r="24" spans="1:96" x14ac:dyDescent="0.25">
      <c r="A24" s="45" t="s">
        <v>358</v>
      </c>
      <c r="B24" s="45">
        <v>-46183.75</v>
      </c>
      <c r="D24" s="45">
        <v>235765.00000000003</v>
      </c>
      <c r="E24" s="45">
        <v>39296.69</v>
      </c>
      <c r="G24" s="45">
        <v>174580.06</v>
      </c>
      <c r="H24" s="45">
        <v>6012587</v>
      </c>
      <c r="I24" s="45">
        <v>55</v>
      </c>
      <c r="J24" s="45">
        <v>673639.1</v>
      </c>
      <c r="K24" s="45">
        <v>1986867.6800000002</v>
      </c>
      <c r="L24" s="45">
        <v>3361170.0999999996</v>
      </c>
      <c r="M24" s="45">
        <v>1541367</v>
      </c>
      <c r="N24" s="45">
        <v>70856.88</v>
      </c>
      <c r="O24" s="45">
        <v>494257.56000000006</v>
      </c>
      <c r="P24" s="45">
        <v>7221</v>
      </c>
      <c r="Q24" s="45">
        <v>39897.329999999994</v>
      </c>
      <c r="R24" s="45">
        <v>86972.28</v>
      </c>
      <c r="S24" s="45">
        <v>1412971.9100000001</v>
      </c>
      <c r="T24" s="45">
        <v>39408.400000000009</v>
      </c>
      <c r="U24" s="45">
        <v>40151.579999999994</v>
      </c>
      <c r="V24" s="45">
        <v>21141.68</v>
      </c>
      <c r="W24" s="45">
        <v>1119413.58</v>
      </c>
      <c r="X24" s="45">
        <v>165358.80000000005</v>
      </c>
      <c r="Z24" s="45">
        <v>12599.999999999998</v>
      </c>
      <c r="AA24" s="45">
        <v>24907.24</v>
      </c>
      <c r="AB24" s="45">
        <v>681942.65</v>
      </c>
      <c r="AC24" s="45">
        <v>1268714</v>
      </c>
      <c r="AD24" s="45">
        <v>260264.02000000005</v>
      </c>
      <c r="AG24" s="45">
        <v>635365.04</v>
      </c>
      <c r="AH24" s="45">
        <v>9139.24</v>
      </c>
      <c r="AI24" s="45">
        <v>104250.05</v>
      </c>
      <c r="AJ24" s="45">
        <v>165669.21999999997</v>
      </c>
      <c r="AK24" s="45">
        <v>157432.77000000005</v>
      </c>
      <c r="AL24" s="45">
        <v>9425.5</v>
      </c>
      <c r="AM24" s="45">
        <v>16585</v>
      </c>
      <c r="AN24" s="45">
        <v>36396.54</v>
      </c>
      <c r="AO24" s="45">
        <v>7301.36</v>
      </c>
      <c r="AR24" s="45">
        <v>29632.880000000001</v>
      </c>
      <c r="AS24" s="45">
        <v>4160</v>
      </c>
      <c r="AT24" s="45">
        <v>123505.71999999999</v>
      </c>
      <c r="AV24" s="45">
        <v>27334.55</v>
      </c>
      <c r="AW24" s="45">
        <v>22217.34</v>
      </c>
      <c r="AX24" s="45">
        <v>294.08999999999997</v>
      </c>
      <c r="AY24" s="45">
        <v>1532077.18</v>
      </c>
      <c r="AZ24" s="45">
        <v>364826.68999999994</v>
      </c>
      <c r="BA24" s="45">
        <v>360000</v>
      </c>
      <c r="BE24" s="2">
        <f t="shared" si="0"/>
        <v>23330835.95999999</v>
      </c>
      <c r="BG24" s="341">
        <v>1177.2</v>
      </c>
      <c r="BH24" s="341">
        <v>641.33000000000004</v>
      </c>
      <c r="BI24" s="341">
        <v>511249.02</v>
      </c>
      <c r="BJ24" s="341">
        <v>624.96</v>
      </c>
      <c r="BK24" s="341"/>
      <c r="BL24" s="341">
        <v>1140.6099999999999</v>
      </c>
      <c r="BM24" s="341">
        <v>29623.4</v>
      </c>
      <c r="BN24" s="341">
        <v>986.82999999999993</v>
      </c>
      <c r="BO24" s="341">
        <v>1374469.4999999995</v>
      </c>
      <c r="BP24" s="341">
        <v>722.74</v>
      </c>
      <c r="BQ24" s="341"/>
      <c r="BR24" s="341">
        <v>405250</v>
      </c>
      <c r="BS24" s="341">
        <v>109175</v>
      </c>
      <c r="BT24" s="341"/>
      <c r="BU24" s="341">
        <v>3056.66</v>
      </c>
      <c r="BV24" s="341"/>
      <c r="BW24" s="341"/>
      <c r="BX24" s="341"/>
      <c r="BY24" s="341">
        <v>58664.04</v>
      </c>
      <c r="BZ24" s="341"/>
      <c r="CA24" s="341"/>
      <c r="CB24" s="347"/>
      <c r="CC24" s="341"/>
      <c r="CD24" s="341">
        <v>818548.29999999993</v>
      </c>
      <c r="CE24" s="341">
        <v>245600.56000000003</v>
      </c>
      <c r="CF24" s="341">
        <v>1076.5</v>
      </c>
      <c r="CG24" s="341"/>
      <c r="CH24" s="341"/>
      <c r="CI24" s="341">
        <v>144356.22</v>
      </c>
      <c r="CJ24" s="341">
        <v>2131.14</v>
      </c>
      <c r="CK24" s="341"/>
      <c r="CL24" s="341"/>
      <c r="CM24" s="341">
        <v>16890.330000000002</v>
      </c>
      <c r="CN24" s="341"/>
      <c r="CO24" s="341">
        <v>400000</v>
      </c>
      <c r="CP24" s="347">
        <v>23938</v>
      </c>
      <c r="CQ24" s="341"/>
      <c r="CR24" s="342">
        <f t="shared" si="1"/>
        <v>3604865.82</v>
      </c>
    </row>
    <row r="25" spans="1:96" x14ac:dyDescent="0.25">
      <c r="A25" s="45" t="s">
        <v>359</v>
      </c>
      <c r="B25" s="45">
        <v>-93175.179999999978</v>
      </c>
      <c r="C25" s="45">
        <v>-8432.9699999999993</v>
      </c>
      <c r="D25" s="45">
        <v>235765.00000000003</v>
      </c>
      <c r="E25" s="45">
        <v>50817.360000000015</v>
      </c>
      <c r="G25" s="45">
        <v>261870.08000000002</v>
      </c>
      <c r="H25" s="45">
        <v>8550762</v>
      </c>
      <c r="I25" s="45">
        <v>660</v>
      </c>
      <c r="J25" s="45">
        <v>936277.75999999989</v>
      </c>
      <c r="K25" s="45">
        <v>2817162.62</v>
      </c>
      <c r="L25" s="45">
        <v>4868046.22</v>
      </c>
      <c r="M25" s="45">
        <v>553717.68000000005</v>
      </c>
      <c r="N25" s="45">
        <v>78905.179999999993</v>
      </c>
      <c r="O25" s="45">
        <v>871451.19000000006</v>
      </c>
      <c r="P25" s="45">
        <v>9670.1500000000015</v>
      </c>
      <c r="Q25" s="45">
        <v>13118.849999999999</v>
      </c>
      <c r="R25" s="45">
        <v>141639.25999999998</v>
      </c>
      <c r="S25" s="45">
        <v>1345735.49</v>
      </c>
      <c r="T25" s="45">
        <v>34414.360000000008</v>
      </c>
      <c r="U25" s="45">
        <v>23017.4</v>
      </c>
      <c r="V25" s="45">
        <v>8964.9</v>
      </c>
      <c r="W25" s="45">
        <v>3802177.1199999996</v>
      </c>
      <c r="X25" s="45">
        <v>187491.21000000005</v>
      </c>
      <c r="Z25" s="45">
        <v>28001.999999999996</v>
      </c>
      <c r="AA25" s="45">
        <v>29642.58</v>
      </c>
      <c r="AB25" s="45">
        <v>874741.53999999992</v>
      </c>
      <c r="AC25" s="45">
        <v>1646644.0000000005</v>
      </c>
      <c r="AD25" s="45">
        <v>337792.59</v>
      </c>
      <c r="AG25" s="45">
        <v>808249.84999999986</v>
      </c>
      <c r="AH25" s="45">
        <v>7410.2</v>
      </c>
      <c r="AI25" s="45">
        <v>99107.45</v>
      </c>
      <c r="AJ25" s="45">
        <v>230174.1</v>
      </c>
      <c r="AK25" s="45">
        <v>208939.8</v>
      </c>
      <c r="AL25" s="45">
        <v>13702.75</v>
      </c>
      <c r="AM25" s="45">
        <v>26055</v>
      </c>
      <c r="AN25" s="45">
        <v>45994.159999999996</v>
      </c>
      <c r="AO25" s="45">
        <v>10383.61</v>
      </c>
      <c r="AQ25" s="45">
        <v>2903.1</v>
      </c>
      <c r="AR25" s="45">
        <v>35975.4</v>
      </c>
      <c r="AS25" s="45">
        <v>13120</v>
      </c>
      <c r="AT25" s="45">
        <v>451591.94999999995</v>
      </c>
      <c r="AV25" s="45">
        <v>78920.5</v>
      </c>
      <c r="AW25" s="45">
        <v>99545.66</v>
      </c>
      <c r="AX25" s="45">
        <v>588.17999999999995</v>
      </c>
      <c r="AY25" s="45">
        <v>2041884.7300000002</v>
      </c>
      <c r="AZ25" s="45">
        <v>442219.44</v>
      </c>
      <c r="BA25" s="45">
        <v>102000</v>
      </c>
      <c r="BE25" s="2">
        <f t="shared" si="0"/>
        <v>32325644.269999996</v>
      </c>
      <c r="BG25" s="341">
        <v>26952.75</v>
      </c>
      <c r="BH25" s="341">
        <v>1282.6500000000001</v>
      </c>
      <c r="BI25" s="341">
        <v>908590.25000000023</v>
      </c>
      <c r="BJ25" s="341"/>
      <c r="BK25" s="341"/>
      <c r="BL25" s="341">
        <v>1422.76</v>
      </c>
      <c r="BM25" s="341">
        <v>54410.32</v>
      </c>
      <c r="BN25" s="341">
        <v>8567.7900000000009</v>
      </c>
      <c r="BO25" s="341">
        <v>1825539.3900000001</v>
      </c>
      <c r="BP25" s="341">
        <v>1350.22</v>
      </c>
      <c r="BQ25" s="341"/>
      <c r="BR25" s="341">
        <v>205000</v>
      </c>
      <c r="BS25" s="341">
        <v>144375</v>
      </c>
      <c r="BT25" s="341"/>
      <c r="BU25" s="341">
        <v>2671.89</v>
      </c>
      <c r="BV25" s="341"/>
      <c r="BW25" s="341"/>
      <c r="BX25" s="341"/>
      <c r="BY25" s="341">
        <v>82129.649999999994</v>
      </c>
      <c r="BZ25" s="341"/>
      <c r="CA25" s="341"/>
      <c r="CB25" s="347"/>
      <c r="CC25" s="341"/>
      <c r="CD25" s="341">
        <v>625119.41</v>
      </c>
      <c r="CE25" s="341">
        <v>420051.5</v>
      </c>
      <c r="CF25" s="341">
        <v>1076.5</v>
      </c>
      <c r="CG25" s="341"/>
      <c r="CH25" s="341"/>
      <c r="CI25" s="341">
        <v>214178.38</v>
      </c>
      <c r="CJ25" s="341">
        <v>4879.54</v>
      </c>
      <c r="CK25" s="341"/>
      <c r="CL25" s="341"/>
      <c r="CM25" s="341"/>
      <c r="CN25" s="341"/>
      <c r="CO25" s="341"/>
      <c r="CP25" s="347">
        <v>34165</v>
      </c>
      <c r="CQ25" s="341"/>
      <c r="CR25" s="342">
        <f t="shared" si="1"/>
        <v>3569104.2700000005</v>
      </c>
    </row>
    <row r="26" spans="1:96" x14ac:dyDescent="0.25">
      <c r="A26" s="45" t="s">
        <v>360</v>
      </c>
      <c r="B26" s="45">
        <v>-5710.6200000000008</v>
      </c>
      <c r="D26" s="45">
        <v>94306</v>
      </c>
      <c r="E26" s="45">
        <v>5164.74</v>
      </c>
      <c r="G26" s="45">
        <v>87290.03</v>
      </c>
      <c r="H26" s="45">
        <v>679094.99999999988</v>
      </c>
      <c r="J26" s="45">
        <v>76427.569999999978</v>
      </c>
      <c r="K26" s="45">
        <v>194796.90999999997</v>
      </c>
      <c r="L26" s="45">
        <v>364832.42</v>
      </c>
      <c r="M26" s="45">
        <v>122045.03999999998</v>
      </c>
      <c r="O26" s="45">
        <v>79236.639999999999</v>
      </c>
      <c r="P26" s="45">
        <v>2226.34</v>
      </c>
      <c r="Q26" s="45">
        <v>9823.94</v>
      </c>
      <c r="R26" s="45">
        <v>25968.94</v>
      </c>
      <c r="S26" s="45">
        <v>166631.51999999999</v>
      </c>
      <c r="U26" s="45">
        <v>3840.0600000000004</v>
      </c>
      <c r="V26" s="45">
        <v>2042.64</v>
      </c>
      <c r="W26" s="45">
        <v>175865.59000000003</v>
      </c>
      <c r="X26" s="45">
        <v>11101.8</v>
      </c>
      <c r="AA26" s="45">
        <v>12074.91</v>
      </c>
      <c r="AB26" s="45">
        <v>109722.94</v>
      </c>
      <c r="AC26" s="45">
        <v>158130.00000000003</v>
      </c>
      <c r="AD26" s="45">
        <v>32438.79</v>
      </c>
      <c r="AG26" s="45">
        <v>73304.72</v>
      </c>
      <c r="AH26" s="45">
        <v>741.02</v>
      </c>
      <c r="AI26" s="45">
        <v>20583.23</v>
      </c>
      <c r="AJ26" s="45">
        <v>24321.79</v>
      </c>
      <c r="AK26" s="45">
        <v>49999.999999999993</v>
      </c>
      <c r="AL26" s="45">
        <v>1383</v>
      </c>
      <c r="AM26" s="45">
        <v>10285</v>
      </c>
      <c r="AN26" s="45">
        <v>1867.73</v>
      </c>
      <c r="AO26" s="45">
        <v>1098.67</v>
      </c>
      <c r="AQ26" s="45">
        <v>25000</v>
      </c>
      <c r="AR26" s="45">
        <v>3826.4</v>
      </c>
      <c r="AT26" s="45">
        <v>7635.2900000000009</v>
      </c>
      <c r="AV26" s="45">
        <v>10000</v>
      </c>
      <c r="AW26" s="45">
        <v>1867.7300000000005</v>
      </c>
      <c r="AX26" s="45">
        <v>294.08999999999997</v>
      </c>
      <c r="AY26" s="45">
        <v>196320.97999999998</v>
      </c>
      <c r="AZ26" s="45">
        <v>122103.98</v>
      </c>
      <c r="BA26" s="45">
        <v>147800</v>
      </c>
      <c r="BB26" s="45">
        <v>239604.72000000003</v>
      </c>
      <c r="BE26" s="2">
        <f t="shared" si="0"/>
        <v>3345389.55</v>
      </c>
      <c r="BG26" s="341"/>
      <c r="BH26" s="341">
        <v>663.44</v>
      </c>
      <c r="BI26" s="341">
        <v>109625.7</v>
      </c>
      <c r="BJ26" s="341"/>
      <c r="BK26" s="341"/>
      <c r="BL26" s="341">
        <v>1678.25</v>
      </c>
      <c r="BM26" s="341">
        <v>6650.15</v>
      </c>
      <c r="BN26" s="341">
        <v>1053.3599999999999</v>
      </c>
      <c r="BO26" s="341">
        <v>250489.8</v>
      </c>
      <c r="BP26" s="341">
        <v>138.27000000000001</v>
      </c>
      <c r="BQ26" s="341"/>
      <c r="BR26" s="341"/>
      <c r="BS26" s="341">
        <v>13475</v>
      </c>
      <c r="BT26" s="341"/>
      <c r="BU26" s="341"/>
      <c r="BV26" s="341"/>
      <c r="BW26" s="341"/>
      <c r="BX26" s="341"/>
      <c r="BY26" s="341">
        <v>3352.23</v>
      </c>
      <c r="BZ26" s="341"/>
      <c r="CA26" s="341"/>
      <c r="CB26" s="347"/>
      <c r="CC26" s="341"/>
      <c r="CD26" s="341"/>
      <c r="CE26" s="341"/>
      <c r="CF26" s="341">
        <v>1076.5</v>
      </c>
      <c r="CG26" s="341"/>
      <c r="CH26" s="341">
        <v>163395.63</v>
      </c>
      <c r="CI26" s="341"/>
      <c r="CJ26" s="341"/>
      <c r="CK26" s="341"/>
      <c r="CL26" s="341"/>
      <c r="CM26" s="341"/>
      <c r="CN26" s="341"/>
      <c r="CO26" s="341">
        <v>80000</v>
      </c>
      <c r="CP26" s="347">
        <v>2706</v>
      </c>
      <c r="CQ26" s="341"/>
      <c r="CR26" s="342">
        <f t="shared" si="1"/>
        <v>515686.78999999992</v>
      </c>
    </row>
    <row r="27" spans="1:96" x14ac:dyDescent="0.25">
      <c r="A27" s="45" t="s">
        <v>361</v>
      </c>
      <c r="B27" s="45">
        <v>-52668.800000000003</v>
      </c>
      <c r="C27" s="45">
        <v>-16321.41</v>
      </c>
      <c r="D27" s="45">
        <v>188612</v>
      </c>
      <c r="E27" s="45">
        <v>19772.289999999997</v>
      </c>
      <c r="G27" s="45">
        <v>87290.03</v>
      </c>
      <c r="H27" s="45">
        <v>3648929</v>
      </c>
      <c r="I27" s="45">
        <v>220</v>
      </c>
      <c r="J27" s="45">
        <v>334255.52</v>
      </c>
      <c r="K27" s="45">
        <v>938428.50999999978</v>
      </c>
      <c r="L27" s="45">
        <v>1813355.52</v>
      </c>
      <c r="M27" s="45">
        <v>730356.49</v>
      </c>
      <c r="N27" s="45">
        <v>73532.12999999999</v>
      </c>
      <c r="O27" s="45">
        <v>702243.07000000007</v>
      </c>
      <c r="P27" s="45">
        <v>6374.329999999999</v>
      </c>
      <c r="Q27" s="45">
        <v>24680.970000000008</v>
      </c>
      <c r="R27" s="45">
        <v>142344.64000000001</v>
      </c>
      <c r="S27" s="45">
        <v>780433.52999999991</v>
      </c>
      <c r="T27" s="45">
        <v>21003.34</v>
      </c>
      <c r="U27" s="45">
        <v>10705.98</v>
      </c>
      <c r="V27" s="45">
        <v>16671.91</v>
      </c>
      <c r="W27" s="45">
        <v>959717.89</v>
      </c>
      <c r="X27" s="45">
        <v>158199.29999999999</v>
      </c>
      <c r="Y27" s="45">
        <v>44692.639999999999</v>
      </c>
      <c r="AA27" s="45">
        <v>17840.09</v>
      </c>
      <c r="AB27" s="45">
        <v>399289.91000000003</v>
      </c>
      <c r="AC27" s="45">
        <v>595344</v>
      </c>
      <c r="AD27" s="45">
        <v>122128.88</v>
      </c>
      <c r="AG27" s="45">
        <v>343408.7300000001</v>
      </c>
      <c r="AH27" s="45">
        <v>4199.1099999999997</v>
      </c>
      <c r="AI27" s="45">
        <v>80300.820000000007</v>
      </c>
      <c r="AJ27" s="45">
        <v>97147.54</v>
      </c>
      <c r="AK27" s="45">
        <v>55824.38</v>
      </c>
      <c r="AL27" s="45">
        <v>6522.25</v>
      </c>
      <c r="AM27" s="45">
        <v>8891</v>
      </c>
      <c r="AN27" s="45">
        <v>18285.98</v>
      </c>
      <c r="AO27" s="45">
        <v>4351.8599999999997</v>
      </c>
      <c r="AQ27" s="45">
        <v>6555</v>
      </c>
      <c r="AR27" s="45">
        <v>15083.99</v>
      </c>
      <c r="AS27" s="45">
        <v>352</v>
      </c>
      <c r="AT27" s="45">
        <v>88039.680000000008</v>
      </c>
      <c r="AV27" s="45">
        <v>10000</v>
      </c>
      <c r="AW27" s="45">
        <v>26907.980000000003</v>
      </c>
      <c r="AX27" s="45">
        <v>588.17999999999995</v>
      </c>
      <c r="AY27" s="45">
        <v>978698.5399999998</v>
      </c>
      <c r="AZ27" s="45">
        <v>122103.98000000001</v>
      </c>
      <c r="BA27" s="45">
        <v>367316</v>
      </c>
      <c r="BE27" s="2">
        <f t="shared" si="0"/>
        <v>14002008.780000003</v>
      </c>
      <c r="BG27" s="341"/>
      <c r="BH27" s="341">
        <v>663.44</v>
      </c>
      <c r="BI27" s="341">
        <v>226799.86</v>
      </c>
      <c r="BJ27" s="341"/>
      <c r="BK27" s="341"/>
      <c r="BL27" s="341">
        <v>750.29</v>
      </c>
      <c r="BM27" s="341">
        <v>12695.74</v>
      </c>
      <c r="BN27" s="341">
        <v>7547.41</v>
      </c>
      <c r="BO27" s="341">
        <v>720245.02000000025</v>
      </c>
      <c r="BP27" s="341">
        <v>1108.3699999999999</v>
      </c>
      <c r="BQ27" s="341"/>
      <c r="BR27" s="341">
        <v>115000</v>
      </c>
      <c r="BS27" s="341">
        <v>56375</v>
      </c>
      <c r="BT27" s="341"/>
      <c r="BU27" s="341"/>
      <c r="BV27" s="341"/>
      <c r="BW27" s="341"/>
      <c r="BX27" s="341"/>
      <c r="BY27" s="341">
        <v>21789.5</v>
      </c>
      <c r="BZ27" s="341"/>
      <c r="CA27" s="341"/>
      <c r="CB27" s="347"/>
      <c r="CC27" s="341"/>
      <c r="CD27" s="341"/>
      <c r="CE27" s="341">
        <v>144292.5</v>
      </c>
      <c r="CF27" s="341">
        <v>1076.5</v>
      </c>
      <c r="CG27" s="341"/>
      <c r="CH27" s="341">
        <v>396612.74000000005</v>
      </c>
      <c r="CI27" s="341"/>
      <c r="CJ27" s="341"/>
      <c r="CK27" s="341"/>
      <c r="CL27" s="341"/>
      <c r="CM27" s="341"/>
      <c r="CN27" s="341"/>
      <c r="CO27" s="341">
        <v>200000</v>
      </c>
      <c r="CP27" s="347">
        <v>14580</v>
      </c>
      <c r="CQ27" s="341"/>
      <c r="CR27" s="342">
        <f t="shared" si="1"/>
        <v>1678627.0400000003</v>
      </c>
    </row>
    <row r="28" spans="1:96" x14ac:dyDescent="0.25">
      <c r="A28" s="45" t="s">
        <v>362</v>
      </c>
      <c r="B28" s="45">
        <v>-24707.06</v>
      </c>
      <c r="C28" s="45">
        <v>-2426.87</v>
      </c>
      <c r="D28" s="45">
        <v>141459</v>
      </c>
      <c r="E28" s="45">
        <v>7971.8900000000012</v>
      </c>
      <c r="G28" s="45">
        <v>29096.68</v>
      </c>
      <c r="H28" s="45">
        <v>1760344</v>
      </c>
      <c r="I28" s="45">
        <v>55</v>
      </c>
      <c r="J28" s="45">
        <v>163226.15000000002</v>
      </c>
      <c r="K28" s="45">
        <v>509501.89</v>
      </c>
      <c r="L28" s="45">
        <v>963033.70000000007</v>
      </c>
      <c r="M28" s="45">
        <v>491501.54999999993</v>
      </c>
      <c r="N28" s="45">
        <v>1669.0600000000002</v>
      </c>
      <c r="O28" s="45">
        <v>166387.75</v>
      </c>
      <c r="P28" s="45">
        <v>6669.3600000000006</v>
      </c>
      <c r="Q28" s="45">
        <v>4707.78</v>
      </c>
      <c r="R28" s="45">
        <v>28592.85</v>
      </c>
      <c r="S28" s="45">
        <v>371476.22000000009</v>
      </c>
      <c r="T28" s="45">
        <v>21646.560000000001</v>
      </c>
      <c r="U28" s="45">
        <v>11861.76</v>
      </c>
      <c r="V28" s="45">
        <v>18831.12</v>
      </c>
      <c r="W28" s="45">
        <v>499555.55000000005</v>
      </c>
      <c r="X28" s="45">
        <v>70524.400000000009</v>
      </c>
      <c r="Z28" s="45">
        <v>27973.000000000004</v>
      </c>
      <c r="AA28" s="45">
        <v>13257.21</v>
      </c>
      <c r="AB28" s="45">
        <v>130069.07999999999</v>
      </c>
      <c r="AC28" s="45">
        <v>314917</v>
      </c>
      <c r="AD28" s="45">
        <v>64602.080000000002</v>
      </c>
      <c r="AG28" s="45">
        <v>148225.87000000002</v>
      </c>
      <c r="AH28" s="45">
        <v>494.01</v>
      </c>
      <c r="AI28" s="45">
        <v>17456.019999999997</v>
      </c>
      <c r="AJ28" s="45">
        <v>39255.960000000014</v>
      </c>
      <c r="AK28" s="45">
        <v>100000.00000000001</v>
      </c>
      <c r="AL28" s="45">
        <v>3081.75</v>
      </c>
      <c r="AM28" s="45">
        <v>2996.25</v>
      </c>
      <c r="AN28" s="45">
        <v>8077.08</v>
      </c>
      <c r="AO28" s="45">
        <v>2003.92</v>
      </c>
      <c r="AS28" s="45">
        <v>1632</v>
      </c>
      <c r="AT28" s="45">
        <v>71516.73000000001</v>
      </c>
      <c r="AV28" s="45">
        <v>32739.85</v>
      </c>
      <c r="AW28" s="45">
        <v>23654.29</v>
      </c>
      <c r="AY28" s="45">
        <v>364368.38999999996</v>
      </c>
      <c r="AZ28" s="45">
        <v>61051.990000000005</v>
      </c>
      <c r="BA28" s="45">
        <v>92303</v>
      </c>
      <c r="BE28" s="2">
        <f t="shared" si="0"/>
        <v>6760653.8199999994</v>
      </c>
      <c r="BG28" s="341"/>
      <c r="BH28" s="341">
        <v>663.44</v>
      </c>
      <c r="BI28" s="341">
        <v>123268.32000000002</v>
      </c>
      <c r="BJ28" s="341"/>
      <c r="BK28" s="341"/>
      <c r="BL28" s="341"/>
      <c r="BM28" s="341">
        <v>7859.27</v>
      </c>
      <c r="BN28" s="341"/>
      <c r="BO28" s="341">
        <v>293676.63</v>
      </c>
      <c r="BP28" s="341">
        <v>278.64</v>
      </c>
      <c r="BQ28" s="341"/>
      <c r="BR28" s="341"/>
      <c r="BS28" s="341">
        <v>26400</v>
      </c>
      <c r="BT28" s="341"/>
      <c r="BU28" s="341">
        <v>2408.2199999999998</v>
      </c>
      <c r="BV28" s="341"/>
      <c r="BW28" s="341"/>
      <c r="BX28" s="341"/>
      <c r="BY28" s="341">
        <v>5028.3500000000004</v>
      </c>
      <c r="BZ28" s="341">
        <v>275</v>
      </c>
      <c r="CA28" s="341"/>
      <c r="CB28" s="347"/>
      <c r="CC28" s="341"/>
      <c r="CD28" s="341"/>
      <c r="CE28" s="341">
        <v>73749.499999999985</v>
      </c>
      <c r="CF28" s="341">
        <v>1076.5</v>
      </c>
      <c r="CG28" s="341"/>
      <c r="CH28" s="341">
        <v>168841.04</v>
      </c>
      <c r="CI28" s="341">
        <v>190871.29</v>
      </c>
      <c r="CJ28" s="341">
        <v>1046.08</v>
      </c>
      <c r="CK28" s="341"/>
      <c r="CL28" s="341">
        <v>294.79000000000002</v>
      </c>
      <c r="CM28" s="341">
        <v>2428.1999999999998</v>
      </c>
      <c r="CN28" s="341"/>
      <c r="CO28" s="341"/>
      <c r="CP28" s="347">
        <v>7042</v>
      </c>
      <c r="CQ28" s="341"/>
      <c r="CR28" s="342">
        <f t="shared" si="1"/>
        <v>773416.24</v>
      </c>
    </row>
    <row r="29" spans="1:96" x14ac:dyDescent="0.25">
      <c r="A29" s="45" t="s">
        <v>363</v>
      </c>
      <c r="B29" s="45">
        <v>-135735.01999999999</v>
      </c>
      <c r="C29" s="45">
        <v>-25044.240000000002</v>
      </c>
      <c r="D29" s="45">
        <v>235765.00000000003</v>
      </c>
      <c r="E29" s="45">
        <v>40864.499999999993</v>
      </c>
      <c r="G29" s="45">
        <v>174580.06</v>
      </c>
      <c r="H29" s="45">
        <v>5843504</v>
      </c>
      <c r="I29" s="45">
        <v>715</v>
      </c>
      <c r="J29" s="45">
        <v>571514.14999999991</v>
      </c>
      <c r="K29" s="45">
        <v>1771685.35</v>
      </c>
      <c r="L29" s="45">
        <v>2984921.68</v>
      </c>
      <c r="M29" s="45">
        <v>979663.20000000019</v>
      </c>
      <c r="N29" s="45">
        <v>55390.689999999995</v>
      </c>
      <c r="O29" s="45">
        <v>880926.24</v>
      </c>
      <c r="P29" s="45">
        <v>4865.3999999999996</v>
      </c>
      <c r="Q29" s="45">
        <v>38242.709999999992</v>
      </c>
      <c r="R29" s="45">
        <v>49487.560000000005</v>
      </c>
      <c r="S29" s="45">
        <v>1301596.0399999998</v>
      </c>
      <c r="T29" s="45">
        <v>47956.490000000005</v>
      </c>
      <c r="U29" s="45">
        <v>89329.389999999985</v>
      </c>
      <c r="V29" s="45">
        <v>16025.19</v>
      </c>
      <c r="W29" s="45">
        <v>1543794.1900000002</v>
      </c>
      <c r="X29" s="45">
        <v>251044.33000000002</v>
      </c>
      <c r="AA29" s="45">
        <v>25742.9</v>
      </c>
      <c r="AB29" s="45">
        <v>763971.54999999993</v>
      </c>
      <c r="AC29" s="45">
        <v>1147657</v>
      </c>
      <c r="AD29" s="45">
        <v>235430.39</v>
      </c>
      <c r="AG29" s="45">
        <v>593357.4</v>
      </c>
      <c r="AH29" s="45">
        <v>13585.36</v>
      </c>
      <c r="AI29" s="45">
        <v>111641.72000000002</v>
      </c>
      <c r="AJ29" s="45">
        <v>186793.56000000003</v>
      </c>
      <c r="AK29" s="45">
        <v>175605.82000000004</v>
      </c>
      <c r="AL29" s="45">
        <v>10910.25</v>
      </c>
      <c r="AM29" s="45">
        <v>9668.75</v>
      </c>
      <c r="AN29" s="45">
        <v>20601.39</v>
      </c>
      <c r="AO29" s="45">
        <v>8031.56</v>
      </c>
      <c r="AQ29" s="45">
        <v>79827.790000000008</v>
      </c>
      <c r="AR29" s="45">
        <v>28945.88</v>
      </c>
      <c r="AT29" s="45">
        <v>231157.43999999997</v>
      </c>
      <c r="AV29" s="45">
        <v>43624.85</v>
      </c>
      <c r="AW29" s="45">
        <v>70310.099999999991</v>
      </c>
      <c r="AX29" s="45">
        <v>588.17999999999995</v>
      </c>
      <c r="AY29" s="45">
        <v>1507694.9800000002</v>
      </c>
      <c r="AZ29" s="45">
        <v>305259.95</v>
      </c>
      <c r="BA29" s="45">
        <v>60000</v>
      </c>
      <c r="BE29" s="2">
        <f t="shared" si="0"/>
        <v>22351498.729999997</v>
      </c>
      <c r="BG29" s="341">
        <v>11628.97</v>
      </c>
      <c r="BH29" s="341">
        <v>1282.6500000000001</v>
      </c>
      <c r="BI29" s="341">
        <v>773548.45</v>
      </c>
      <c r="BJ29" s="341"/>
      <c r="BK29" s="341"/>
      <c r="BL29" s="341"/>
      <c r="BM29" s="341">
        <v>53201.2</v>
      </c>
      <c r="BN29" s="341">
        <v>8053.4000000000005</v>
      </c>
      <c r="BO29" s="341">
        <v>1352424.4500000002</v>
      </c>
      <c r="BP29" s="341">
        <v>1164.49</v>
      </c>
      <c r="BQ29" s="341"/>
      <c r="BR29" s="341">
        <v>460000</v>
      </c>
      <c r="BS29" s="341">
        <v>102575</v>
      </c>
      <c r="BT29" s="341">
        <v>12000</v>
      </c>
      <c r="BU29" s="341">
        <v>5650.14</v>
      </c>
      <c r="BV29" s="341"/>
      <c r="BW29" s="341"/>
      <c r="BX29" s="341"/>
      <c r="BY29" s="341">
        <v>112299.73</v>
      </c>
      <c r="BZ29" s="341"/>
      <c r="CA29" s="341"/>
      <c r="CB29" s="347"/>
      <c r="CC29" s="341"/>
      <c r="CD29" s="341"/>
      <c r="CE29" s="341">
        <v>106201.43000000001</v>
      </c>
      <c r="CF29" s="341">
        <v>1076.5</v>
      </c>
      <c r="CG29" s="341"/>
      <c r="CH29" s="341">
        <v>1043079.4800000001</v>
      </c>
      <c r="CI29" s="341">
        <v>262182.33</v>
      </c>
      <c r="CJ29" s="341">
        <v>25400.52</v>
      </c>
      <c r="CK29" s="341"/>
      <c r="CL29" s="341"/>
      <c r="CM29" s="341">
        <v>24030.52</v>
      </c>
      <c r="CN29" s="341"/>
      <c r="CO29" s="341"/>
      <c r="CP29" s="347">
        <v>23223</v>
      </c>
      <c r="CQ29" s="341"/>
      <c r="CR29" s="342">
        <f t="shared" si="1"/>
        <v>3539360.99</v>
      </c>
    </row>
    <row r="30" spans="1:96" x14ac:dyDescent="0.25">
      <c r="A30" s="45" t="s">
        <v>364</v>
      </c>
      <c r="B30" s="45">
        <v>-93927.97</v>
      </c>
      <c r="C30" s="45">
        <v>-18513.63</v>
      </c>
      <c r="D30" s="45">
        <v>377224</v>
      </c>
      <c r="E30" s="45">
        <v>70512.350000000006</v>
      </c>
      <c r="G30" s="45">
        <v>407353.46</v>
      </c>
      <c r="H30" s="45">
        <v>11317235</v>
      </c>
      <c r="I30" s="45">
        <v>220</v>
      </c>
      <c r="J30" s="45">
        <v>1159852.1800000002</v>
      </c>
      <c r="K30" s="45">
        <v>3457928.59</v>
      </c>
      <c r="L30" s="45">
        <v>6124334.2899999991</v>
      </c>
      <c r="M30" s="45">
        <v>2606681.1700000004</v>
      </c>
      <c r="N30" s="45">
        <v>86137.91</v>
      </c>
      <c r="O30" s="45">
        <v>1301658.21</v>
      </c>
      <c r="P30" s="45">
        <v>15870.459999999997</v>
      </c>
      <c r="Q30" s="45">
        <v>122608.19</v>
      </c>
      <c r="R30" s="45">
        <v>285668.3</v>
      </c>
      <c r="S30" s="45">
        <v>2266671.9700000002</v>
      </c>
      <c r="T30" s="45">
        <v>130197.59999999998</v>
      </c>
      <c r="U30" s="45">
        <v>50434.040000000008</v>
      </c>
      <c r="V30" s="45">
        <v>81184.23000000001</v>
      </c>
      <c r="W30" s="45">
        <v>2563911.3099999996</v>
      </c>
      <c r="X30" s="45">
        <v>620349.97</v>
      </c>
      <c r="Z30" s="45">
        <v>12000</v>
      </c>
      <c r="AA30" s="45">
        <v>37797.46</v>
      </c>
      <c r="AB30" s="45">
        <v>1269868.0500000003</v>
      </c>
      <c r="AC30" s="45">
        <v>2220465</v>
      </c>
      <c r="AD30" s="45">
        <v>455506.24999999994</v>
      </c>
      <c r="AG30" s="45">
        <v>1056217.51</v>
      </c>
      <c r="AH30" s="45">
        <v>9386.25</v>
      </c>
      <c r="AI30" s="45">
        <v>199133.74000000002</v>
      </c>
      <c r="AJ30" s="45">
        <v>320014.23000000004</v>
      </c>
      <c r="AK30" s="45">
        <v>185646.16999999998</v>
      </c>
      <c r="AL30" s="45">
        <v>20087.5</v>
      </c>
      <c r="AM30" s="45">
        <v>25189.75</v>
      </c>
      <c r="AN30" s="45">
        <v>39479.869999999995</v>
      </c>
      <c r="AO30" s="45">
        <v>14779.24</v>
      </c>
      <c r="AR30" s="45">
        <v>56576.84</v>
      </c>
      <c r="AS30" s="45">
        <v>9696</v>
      </c>
      <c r="AT30" s="45">
        <v>364459.81</v>
      </c>
      <c r="AU30" s="45">
        <v>42527</v>
      </c>
      <c r="AV30" s="45">
        <v>80173.600000000006</v>
      </c>
      <c r="AW30" s="45">
        <v>56341.070000000007</v>
      </c>
      <c r="AX30" s="45">
        <v>588.17999999999995</v>
      </c>
      <c r="AY30" s="45">
        <v>2787686.6799999997</v>
      </c>
      <c r="AZ30" s="45">
        <v>608635.99</v>
      </c>
      <c r="BA30" s="45">
        <v>460000</v>
      </c>
      <c r="BE30" s="2">
        <f t="shared" si="0"/>
        <v>43265847.820000008</v>
      </c>
      <c r="BG30" s="341">
        <v>1134</v>
      </c>
      <c r="BH30" s="341">
        <v>1923.98</v>
      </c>
      <c r="BI30" s="341">
        <v>1013882.5199999998</v>
      </c>
      <c r="BJ30" s="341"/>
      <c r="BK30" s="341"/>
      <c r="BL30" s="341">
        <v>2054.5</v>
      </c>
      <c r="BM30" s="341">
        <v>55014.879999999997</v>
      </c>
      <c r="BN30" s="341">
        <v>16234.220000000001</v>
      </c>
      <c r="BO30" s="341">
        <v>4055767.59</v>
      </c>
      <c r="BP30" s="341">
        <v>2438.83</v>
      </c>
      <c r="BQ30" s="341"/>
      <c r="BR30" s="341">
        <v>200000</v>
      </c>
      <c r="BS30" s="341">
        <v>191125</v>
      </c>
      <c r="BT30" s="341">
        <v>12000</v>
      </c>
      <c r="BU30" s="341"/>
      <c r="BV30" s="341"/>
      <c r="BW30" s="341"/>
      <c r="BX30" s="341">
        <v>28048</v>
      </c>
      <c r="BY30" s="341">
        <v>129060.88</v>
      </c>
      <c r="BZ30" s="341"/>
      <c r="CA30" s="341"/>
      <c r="CB30" s="347"/>
      <c r="CC30" s="341"/>
      <c r="CD30" s="341"/>
      <c r="CE30" s="341">
        <v>323856.49999999994</v>
      </c>
      <c r="CF30" s="341">
        <v>1076.5</v>
      </c>
      <c r="CG30" s="341"/>
      <c r="CH30" s="341">
        <v>1373746</v>
      </c>
      <c r="CI30" s="341">
        <v>395950.45999999996</v>
      </c>
      <c r="CJ30" s="341">
        <v>3976.4</v>
      </c>
      <c r="CK30" s="341"/>
      <c r="CL30" s="341"/>
      <c r="CM30" s="341">
        <v>29999.649999999998</v>
      </c>
      <c r="CN30" s="341">
        <v>10000</v>
      </c>
      <c r="CO30" s="341"/>
      <c r="CP30" s="347">
        <v>44944</v>
      </c>
      <c r="CQ30" s="341"/>
      <c r="CR30" s="342">
        <f t="shared" si="1"/>
        <v>6818224.0300000012</v>
      </c>
    </row>
    <row r="31" spans="1:96" x14ac:dyDescent="0.25">
      <c r="A31" s="45" t="s">
        <v>365</v>
      </c>
      <c r="B31" s="45">
        <v>-28050.050000000003</v>
      </c>
      <c r="C31" s="45">
        <v>-4617.13</v>
      </c>
      <c r="D31" s="45">
        <v>188612</v>
      </c>
      <c r="E31" s="45">
        <v>11388.499999999998</v>
      </c>
      <c r="G31" s="45">
        <v>29096.68</v>
      </c>
      <c r="H31" s="45">
        <v>2073112</v>
      </c>
      <c r="J31" s="45">
        <v>240828.07999999996</v>
      </c>
      <c r="K31" s="45">
        <v>646825.97</v>
      </c>
      <c r="L31" s="45">
        <v>1156764.8800000001</v>
      </c>
      <c r="M31" s="45">
        <v>225273.2</v>
      </c>
      <c r="N31" s="45">
        <v>34578.54</v>
      </c>
      <c r="O31" s="45">
        <v>165846.10000000003</v>
      </c>
      <c r="R31" s="45">
        <v>22819.659999999996</v>
      </c>
      <c r="S31" s="45">
        <v>318057.13</v>
      </c>
      <c r="T31" s="45">
        <v>5606.7399999999989</v>
      </c>
      <c r="U31" s="45">
        <v>16820.22</v>
      </c>
      <c r="V31" s="45">
        <v>8726.4500000000007</v>
      </c>
      <c r="W31" s="45">
        <v>914182.45</v>
      </c>
      <c r="X31" s="45">
        <v>106135.4</v>
      </c>
      <c r="AA31" s="45">
        <v>14438.6</v>
      </c>
      <c r="AB31" s="45">
        <v>185773.15</v>
      </c>
      <c r="AC31" s="45">
        <v>307024</v>
      </c>
      <c r="AD31" s="45">
        <v>62982.909999999989</v>
      </c>
      <c r="AG31" s="45">
        <v>156159.75</v>
      </c>
      <c r="AH31" s="45">
        <v>247.01</v>
      </c>
      <c r="AI31" s="45">
        <v>22662.86</v>
      </c>
      <c r="AJ31" s="45">
        <v>51053.989999999983</v>
      </c>
      <c r="AK31" s="45">
        <v>49999.999999999993</v>
      </c>
      <c r="AL31" s="45">
        <v>3008</v>
      </c>
      <c r="AM31" s="45">
        <v>6355</v>
      </c>
      <c r="AN31" s="45">
        <v>4986.84</v>
      </c>
      <c r="AO31" s="45">
        <v>2416.56</v>
      </c>
      <c r="AS31" s="45">
        <v>3264</v>
      </c>
      <c r="AT31" s="45">
        <v>69287.98000000001</v>
      </c>
      <c r="AU31" s="45">
        <v>46046</v>
      </c>
      <c r="AV31" s="45">
        <v>10000</v>
      </c>
      <c r="AW31" s="45">
        <v>3708.7400000000002</v>
      </c>
      <c r="AX31" s="45">
        <v>588.17999999999995</v>
      </c>
      <c r="AY31" s="45">
        <v>474042.35</v>
      </c>
      <c r="AZ31" s="45">
        <v>122103.98000000001</v>
      </c>
      <c r="BA31" s="45">
        <v>326000</v>
      </c>
      <c r="BE31" s="2">
        <f t="shared" si="0"/>
        <v>8054156.7200000007</v>
      </c>
      <c r="BG31" s="341"/>
      <c r="BH31" s="341">
        <v>663.44</v>
      </c>
      <c r="BI31" s="341">
        <v>104293.31000000001</v>
      </c>
      <c r="BJ31" s="341"/>
      <c r="BK31" s="341"/>
      <c r="BL31" s="341"/>
      <c r="BM31" s="341">
        <v>4836.47</v>
      </c>
      <c r="BN31" s="341">
        <v>1306.2199999999998</v>
      </c>
      <c r="BO31" s="341"/>
      <c r="BP31" s="341">
        <v>319.3</v>
      </c>
      <c r="BQ31" s="341"/>
      <c r="BR31" s="341"/>
      <c r="BS31" s="341">
        <v>26950</v>
      </c>
      <c r="BT31" s="341"/>
      <c r="BU31" s="341"/>
      <c r="BV31" s="341"/>
      <c r="BW31" s="341"/>
      <c r="BX31" s="341"/>
      <c r="BY31" s="341">
        <v>11732.810000000001</v>
      </c>
      <c r="BZ31" s="341"/>
      <c r="CA31" s="341"/>
      <c r="CB31" s="347"/>
      <c r="CC31" s="341"/>
      <c r="CD31" s="341"/>
      <c r="CE31" s="341">
        <v>28858.499999999993</v>
      </c>
      <c r="CF31" s="341">
        <v>1076.5</v>
      </c>
      <c r="CG31" s="341"/>
      <c r="CH31" s="341">
        <v>265856.14999999997</v>
      </c>
      <c r="CI31" s="341"/>
      <c r="CJ31" s="341"/>
      <c r="CK31" s="341"/>
      <c r="CL31" s="341"/>
      <c r="CM31" s="341"/>
      <c r="CN31" s="341"/>
      <c r="CO31" s="341"/>
      <c r="CP31" s="347">
        <v>8159</v>
      </c>
      <c r="CQ31" s="341"/>
      <c r="CR31" s="342">
        <f t="shared" si="1"/>
        <v>344258.48</v>
      </c>
    </row>
    <row r="32" spans="1:96" x14ac:dyDescent="0.25">
      <c r="A32" s="45" t="s">
        <v>366</v>
      </c>
      <c r="B32" s="45">
        <v>-8155.56</v>
      </c>
      <c r="C32" s="45">
        <v>-7179.68</v>
      </c>
      <c r="D32" s="45">
        <v>282918</v>
      </c>
      <c r="E32" s="45">
        <v>30171.870000000006</v>
      </c>
      <c r="G32" s="45">
        <v>145483.38</v>
      </c>
      <c r="H32" s="45">
        <v>5140504.9999999991</v>
      </c>
      <c r="I32" s="45">
        <v>220</v>
      </c>
      <c r="J32" s="45">
        <v>682203.98</v>
      </c>
      <c r="K32" s="45">
        <v>1751789.6900000002</v>
      </c>
      <c r="L32" s="45">
        <v>3112212.2800000003</v>
      </c>
      <c r="M32" s="45">
        <v>1667069.1800000002</v>
      </c>
      <c r="N32" s="45">
        <v>64836.25</v>
      </c>
      <c r="O32" s="45">
        <v>135408.34</v>
      </c>
      <c r="P32" s="45">
        <v>15380.55</v>
      </c>
      <c r="Q32" s="45">
        <v>20372.860000000004</v>
      </c>
      <c r="R32" s="45">
        <v>187264.59999999998</v>
      </c>
      <c r="S32" s="45">
        <v>586394.17999999982</v>
      </c>
      <c r="T32" s="45">
        <v>10919.340000000002</v>
      </c>
      <c r="U32" s="45">
        <v>8042.94</v>
      </c>
      <c r="V32" s="45">
        <v>1911.95</v>
      </c>
      <c r="W32" s="45">
        <v>785002.99999999988</v>
      </c>
      <c r="X32" s="45">
        <v>139933.29</v>
      </c>
      <c r="AA32" s="45">
        <v>21742.68</v>
      </c>
      <c r="AB32" s="45">
        <v>580856.29</v>
      </c>
      <c r="AC32" s="45">
        <v>759727.99999999988</v>
      </c>
      <c r="AD32" s="45">
        <v>155850.62000000005</v>
      </c>
      <c r="AG32" s="45">
        <v>517096.72</v>
      </c>
      <c r="AH32" s="45">
        <v>2223.06</v>
      </c>
      <c r="AI32" s="45">
        <v>116289.65999999997</v>
      </c>
      <c r="AJ32" s="45">
        <v>128683.58000000002</v>
      </c>
      <c r="AK32" s="45">
        <v>131126.07000000004</v>
      </c>
      <c r="AL32" s="45">
        <v>8278</v>
      </c>
      <c r="AM32" s="45">
        <v>14455</v>
      </c>
      <c r="AN32" s="45">
        <v>8497.5399999999991</v>
      </c>
      <c r="AO32" s="45">
        <v>6026.82</v>
      </c>
      <c r="AQ32" s="45">
        <v>2764.37</v>
      </c>
      <c r="AR32" s="45">
        <v>24858.880000000001</v>
      </c>
      <c r="AS32" s="45">
        <v>4352</v>
      </c>
      <c r="AT32" s="45">
        <v>95958.499999999985</v>
      </c>
      <c r="AV32" s="45">
        <v>25430.1</v>
      </c>
      <c r="AW32" s="45">
        <v>38111.480000000003</v>
      </c>
      <c r="AX32" s="45">
        <v>588.17999999999995</v>
      </c>
      <c r="AY32" s="45">
        <v>1579162.0999999999</v>
      </c>
      <c r="AZ32" s="45">
        <v>305259.95</v>
      </c>
      <c r="BA32" s="45">
        <v>350031</v>
      </c>
      <c r="BE32" s="2">
        <f t="shared" si="0"/>
        <v>19630076.039999995</v>
      </c>
      <c r="BG32" s="341"/>
      <c r="BH32" s="341">
        <v>641.33000000000004</v>
      </c>
      <c r="BI32" s="341">
        <v>298492.86</v>
      </c>
      <c r="BJ32" s="341"/>
      <c r="BK32" s="341"/>
      <c r="BL32" s="341">
        <v>13009.23</v>
      </c>
      <c r="BM32" s="341">
        <v>18741.330000000002</v>
      </c>
      <c r="BN32" s="341">
        <v>411.77</v>
      </c>
      <c r="BO32" s="341"/>
      <c r="BP32" s="341">
        <v>908.86999999999989</v>
      </c>
      <c r="BQ32" s="341"/>
      <c r="BR32" s="341">
        <v>225000</v>
      </c>
      <c r="BS32" s="341">
        <v>70950</v>
      </c>
      <c r="BT32" s="341"/>
      <c r="BU32" s="341"/>
      <c r="BV32" s="341"/>
      <c r="BW32" s="341"/>
      <c r="BX32" s="341"/>
      <c r="BY32" s="341">
        <v>35198.42</v>
      </c>
      <c r="BZ32" s="341"/>
      <c r="CA32" s="341"/>
      <c r="CB32" s="347"/>
      <c r="CC32" s="341"/>
      <c r="CD32" s="341"/>
      <c r="CE32" s="341">
        <v>105814.5</v>
      </c>
      <c r="CF32" s="341">
        <v>1076.5</v>
      </c>
      <c r="CG32" s="341"/>
      <c r="CH32" s="341">
        <v>547614.22000000009</v>
      </c>
      <c r="CI32" s="341">
        <v>149647.43000000002</v>
      </c>
      <c r="CJ32" s="341">
        <v>818.67</v>
      </c>
      <c r="CK32" s="341"/>
      <c r="CL32" s="341"/>
      <c r="CM32" s="341"/>
      <c r="CN32" s="341"/>
      <c r="CO32" s="341">
        <v>240000</v>
      </c>
      <c r="CP32" s="347">
        <v>20363</v>
      </c>
      <c r="CQ32" s="341"/>
      <c r="CR32" s="342">
        <f t="shared" si="1"/>
        <v>1397803.38</v>
      </c>
    </row>
    <row r="33" spans="1:96" x14ac:dyDescent="0.25">
      <c r="A33" s="45" t="s">
        <v>367</v>
      </c>
      <c r="B33" s="45">
        <v>-151901.09000000003</v>
      </c>
      <c r="C33" s="45">
        <v>-12640.68</v>
      </c>
      <c r="D33" s="45">
        <v>1084519</v>
      </c>
      <c r="E33" s="45">
        <v>184801.25</v>
      </c>
      <c r="G33" s="45">
        <v>436450.14</v>
      </c>
      <c r="H33" s="45">
        <v>31455277</v>
      </c>
      <c r="I33" s="45">
        <v>750</v>
      </c>
      <c r="J33" s="45">
        <v>3247663.4299999997</v>
      </c>
      <c r="K33" s="45">
        <v>10039659.540000001</v>
      </c>
      <c r="L33" s="45">
        <v>18739010.920000002</v>
      </c>
      <c r="M33" s="45">
        <v>4298814.47</v>
      </c>
      <c r="N33" s="45">
        <v>214140.44</v>
      </c>
      <c r="O33" s="45">
        <v>4118283.9700000007</v>
      </c>
      <c r="P33" s="45">
        <v>72343.360000000001</v>
      </c>
      <c r="Q33" s="45">
        <v>277691.93000000005</v>
      </c>
      <c r="R33" s="45">
        <v>164791.20000000001</v>
      </c>
      <c r="S33" s="45">
        <v>4530559.1399999997</v>
      </c>
      <c r="T33" s="45">
        <v>200819.41999999995</v>
      </c>
      <c r="U33" s="45">
        <v>163479.58999999997</v>
      </c>
      <c r="V33" s="45">
        <v>115389.6</v>
      </c>
      <c r="W33" s="45">
        <v>12583174.120000001</v>
      </c>
      <c r="X33" s="45">
        <v>1736609.4799999997</v>
      </c>
      <c r="Y33" s="45">
        <v>222436.59</v>
      </c>
      <c r="Z33" s="45">
        <v>59780</v>
      </c>
      <c r="AA33" s="45">
        <v>83023.600000000006</v>
      </c>
      <c r="AB33" s="45">
        <v>2266686.4299999997</v>
      </c>
      <c r="AC33" s="45">
        <v>5370310</v>
      </c>
      <c r="AD33" s="45">
        <v>1101665.53</v>
      </c>
      <c r="AG33" s="45">
        <v>2235061.36</v>
      </c>
      <c r="AH33" s="45">
        <v>29393.77</v>
      </c>
      <c r="AI33" s="45">
        <v>366817.05000000005</v>
      </c>
      <c r="AJ33" s="45">
        <v>807907.8600000001</v>
      </c>
      <c r="AK33" s="45">
        <v>549609.06000000006</v>
      </c>
      <c r="AL33" s="45">
        <v>52679.5</v>
      </c>
      <c r="AM33" s="45">
        <v>73010.75</v>
      </c>
      <c r="AN33" s="45">
        <v>122266.41999999998</v>
      </c>
      <c r="AO33" s="45">
        <v>39028.800000000003</v>
      </c>
      <c r="AQ33" s="45">
        <v>324185.46999999997</v>
      </c>
      <c r="AS33" s="45">
        <v>49211</v>
      </c>
      <c r="AT33" s="45">
        <v>1522325.58</v>
      </c>
      <c r="AU33" s="45">
        <v>54978</v>
      </c>
      <c r="AV33" s="45">
        <v>26916.85</v>
      </c>
      <c r="AW33" s="45">
        <v>388502.27999999997</v>
      </c>
      <c r="AX33" s="45">
        <v>2646.81</v>
      </c>
      <c r="AY33" s="45">
        <v>5328918.3</v>
      </c>
      <c r="AZ33" s="45">
        <v>914973.85999999987</v>
      </c>
      <c r="BA33" s="45">
        <v>100000</v>
      </c>
      <c r="BE33" s="2">
        <f t="shared" si="0"/>
        <v>115592021.10000001</v>
      </c>
      <c r="BG33" s="341"/>
      <c r="BH33" s="341">
        <v>2565.31</v>
      </c>
      <c r="BI33" s="341">
        <v>1535223.8500000003</v>
      </c>
      <c r="BJ33" s="341"/>
      <c r="BK33" s="341"/>
      <c r="BL33" s="341">
        <v>4204.37</v>
      </c>
      <c r="BM33" s="341">
        <v>77988.13</v>
      </c>
      <c r="BN33" s="341">
        <v>20468.14</v>
      </c>
      <c r="BO33" s="341">
        <v>5384071.5099999998</v>
      </c>
      <c r="BP33" s="341">
        <v>2634.46</v>
      </c>
      <c r="BQ33" s="341"/>
      <c r="BR33" s="341">
        <v>140000</v>
      </c>
      <c r="BS33" s="341">
        <v>464750</v>
      </c>
      <c r="BT33" s="341"/>
      <c r="BU33" s="341">
        <v>1531.89</v>
      </c>
      <c r="BV33" s="341">
        <v>10000</v>
      </c>
      <c r="BW33" s="341">
        <v>66667</v>
      </c>
      <c r="BX33" s="341"/>
      <c r="BY33" s="341">
        <v>127384.77</v>
      </c>
      <c r="BZ33" s="341"/>
      <c r="CA33" s="341">
        <v>10000</v>
      </c>
      <c r="CB33" s="347"/>
      <c r="CC33" s="341"/>
      <c r="CD33" s="341"/>
      <c r="CE33" s="341">
        <v>1190978.3600000001</v>
      </c>
      <c r="CF33" s="341">
        <v>1076.5</v>
      </c>
      <c r="CG33" s="341">
        <v>726763.26</v>
      </c>
      <c r="CH33" s="341"/>
      <c r="CI33" s="341">
        <v>411155.65000000008</v>
      </c>
      <c r="CJ33" s="341">
        <v>13458.5</v>
      </c>
      <c r="CK33" s="341"/>
      <c r="CL33" s="341"/>
      <c r="CM33" s="341"/>
      <c r="CN33" s="341"/>
      <c r="CO33" s="341"/>
      <c r="CP33" s="347">
        <v>125133</v>
      </c>
      <c r="CQ33" s="341"/>
      <c r="CR33" s="342">
        <f t="shared" si="1"/>
        <v>8696073.0399999991</v>
      </c>
    </row>
    <row r="34" spans="1:96" x14ac:dyDescent="0.25">
      <c r="A34" s="45" t="s">
        <v>368</v>
      </c>
      <c r="B34" s="45">
        <v>-32938.870000000003</v>
      </c>
      <c r="C34" s="45">
        <v>-6367.28</v>
      </c>
      <c r="D34" s="45">
        <v>94306</v>
      </c>
      <c r="E34" s="45">
        <v>17129.79</v>
      </c>
      <c r="G34" s="45">
        <v>87290.03</v>
      </c>
      <c r="H34" s="45">
        <v>2442908.9999999995</v>
      </c>
      <c r="J34" s="45">
        <v>237499.57000000004</v>
      </c>
      <c r="K34" s="45">
        <v>705477.00000000012</v>
      </c>
      <c r="L34" s="45">
        <v>1196949.92</v>
      </c>
      <c r="M34" s="45">
        <v>436530.15</v>
      </c>
      <c r="N34" s="45">
        <v>21135.83</v>
      </c>
      <c r="O34" s="45">
        <v>311660.7</v>
      </c>
      <c r="P34" s="45">
        <v>1751</v>
      </c>
      <c r="Q34" s="45">
        <v>10276.080000000002</v>
      </c>
      <c r="R34" s="45">
        <v>83305.25</v>
      </c>
      <c r="S34" s="45">
        <v>694634.94000000006</v>
      </c>
      <c r="T34" s="45">
        <v>13265.169999999998</v>
      </c>
      <c r="U34" s="45">
        <v>9037.9999999999982</v>
      </c>
      <c r="W34" s="45">
        <v>692371.02000000014</v>
      </c>
      <c r="X34" s="45">
        <v>109411.11</v>
      </c>
      <c r="AA34" s="45">
        <v>16499.8</v>
      </c>
      <c r="AB34" s="45">
        <v>289288.16999999993</v>
      </c>
      <c r="AC34" s="45">
        <v>706559.00000000023</v>
      </c>
      <c r="AD34" s="45">
        <v>144943.53000000003</v>
      </c>
      <c r="AG34" s="45">
        <v>210385.56</v>
      </c>
      <c r="AH34" s="45">
        <v>2470.0700000000002</v>
      </c>
      <c r="AI34" s="45">
        <v>32647.56</v>
      </c>
      <c r="AJ34" s="45">
        <v>77897.75</v>
      </c>
      <c r="AK34" s="45">
        <v>100000.00000000001</v>
      </c>
      <c r="AL34" s="45">
        <v>5205.25</v>
      </c>
      <c r="AM34" s="45">
        <v>2945.25</v>
      </c>
      <c r="AN34" s="45">
        <v>9508.26</v>
      </c>
      <c r="AO34" s="45">
        <v>3349.68</v>
      </c>
      <c r="AR34" s="45">
        <v>12532.4</v>
      </c>
      <c r="AT34" s="45">
        <v>39848.560000000005</v>
      </c>
      <c r="AV34" s="45">
        <v>67617.8</v>
      </c>
      <c r="AW34" s="45">
        <v>16466.5</v>
      </c>
      <c r="AX34" s="45">
        <v>294.08999999999997</v>
      </c>
      <c r="AY34" s="45">
        <v>584091.86999999988</v>
      </c>
      <c r="AZ34" s="45">
        <v>122103.98</v>
      </c>
      <c r="BA34" s="45">
        <v>60000</v>
      </c>
      <c r="BE34" s="2">
        <f t="shared" si="0"/>
        <v>9630289.4900000021</v>
      </c>
      <c r="BG34" s="341"/>
      <c r="BH34" s="341">
        <v>663.44</v>
      </c>
      <c r="BI34" s="341">
        <v>308224.67000000004</v>
      </c>
      <c r="BJ34" s="341"/>
      <c r="BK34" s="341"/>
      <c r="BL34" s="341">
        <v>390.92</v>
      </c>
      <c r="BM34" s="341">
        <v>19345.89</v>
      </c>
      <c r="BN34" s="341">
        <v>247.2</v>
      </c>
      <c r="BO34" s="341">
        <v>816450.46</v>
      </c>
      <c r="BP34" s="341">
        <v>554.02</v>
      </c>
      <c r="BQ34" s="341"/>
      <c r="BR34" s="341">
        <v>75000</v>
      </c>
      <c r="BS34" s="341">
        <v>57200</v>
      </c>
      <c r="BT34" s="341"/>
      <c r="BU34" s="341"/>
      <c r="BV34" s="341"/>
      <c r="BW34" s="341"/>
      <c r="BX34" s="341">
        <v>17000</v>
      </c>
      <c r="BY34" s="341">
        <v>11732.810000000001</v>
      </c>
      <c r="BZ34" s="341"/>
      <c r="CA34" s="341"/>
      <c r="CB34" s="347"/>
      <c r="CC34" s="341"/>
      <c r="CD34" s="341"/>
      <c r="CE34" s="341">
        <v>128260.00000000001</v>
      </c>
      <c r="CF34" s="341">
        <v>1076.5</v>
      </c>
      <c r="CG34" s="341"/>
      <c r="CH34" s="341">
        <v>445755.04</v>
      </c>
      <c r="CI34" s="341"/>
      <c r="CJ34" s="341"/>
      <c r="CK34" s="341">
        <v>18353.88</v>
      </c>
      <c r="CL34" s="341"/>
      <c r="CM34" s="341">
        <v>6289.92</v>
      </c>
      <c r="CN34" s="341"/>
      <c r="CO34" s="341"/>
      <c r="CP34" s="347">
        <v>9610</v>
      </c>
      <c r="CQ34" s="341"/>
      <c r="CR34" s="342">
        <f t="shared" si="1"/>
        <v>1587529.8299999998</v>
      </c>
    </row>
    <row r="35" spans="1:96" x14ac:dyDescent="0.25">
      <c r="A35" s="45" t="s">
        <v>369</v>
      </c>
      <c r="B35" s="45">
        <v>-47459.73</v>
      </c>
      <c r="C35" s="45">
        <v>-9070.2099999999991</v>
      </c>
      <c r="D35" s="45">
        <v>141459</v>
      </c>
      <c r="E35" s="45">
        <v>26011.880000000005</v>
      </c>
      <c r="G35" s="45">
        <v>116386.69999999998</v>
      </c>
      <c r="H35" s="45">
        <v>3823966.9999999991</v>
      </c>
      <c r="J35" s="45">
        <v>403852.18999999994</v>
      </c>
      <c r="K35" s="45">
        <v>1288528.5299999998</v>
      </c>
      <c r="L35" s="45">
        <v>2466950.61</v>
      </c>
      <c r="M35" s="45">
        <v>160191.17000000004</v>
      </c>
      <c r="N35" s="45">
        <v>47201.25</v>
      </c>
      <c r="O35" s="45">
        <v>407669.92999999993</v>
      </c>
      <c r="P35" s="45">
        <v>2496.09</v>
      </c>
      <c r="Q35" s="45">
        <v>30831.210000000003</v>
      </c>
      <c r="R35" s="45">
        <v>140331.16000000003</v>
      </c>
      <c r="S35" s="45">
        <v>637486.80000000005</v>
      </c>
      <c r="T35" s="45">
        <v>22983.61</v>
      </c>
      <c r="W35" s="45">
        <v>1488767.4899999998</v>
      </c>
      <c r="X35" s="45">
        <v>85031.659999999989</v>
      </c>
      <c r="AA35" s="45">
        <v>20376.29</v>
      </c>
      <c r="AB35" s="45">
        <v>386390.8</v>
      </c>
      <c r="AC35" s="45">
        <v>842000.00000000012</v>
      </c>
      <c r="AD35" s="45">
        <v>172727.90000000002</v>
      </c>
      <c r="AG35" s="45">
        <v>356670.22000000003</v>
      </c>
      <c r="AH35" s="45">
        <v>2717.07</v>
      </c>
      <c r="AI35" s="45">
        <v>48433.08</v>
      </c>
      <c r="AJ35" s="45">
        <v>109356.66999999998</v>
      </c>
      <c r="AK35" s="45">
        <v>95784.989999999976</v>
      </c>
      <c r="AL35" s="45">
        <v>5796</v>
      </c>
      <c r="AM35" s="45">
        <v>7390.75</v>
      </c>
      <c r="AN35" s="45">
        <v>17719.75</v>
      </c>
      <c r="AO35" s="45">
        <v>4860.3100000000004</v>
      </c>
      <c r="AR35" s="45">
        <v>18589.21</v>
      </c>
      <c r="AS35" s="45">
        <v>3127</v>
      </c>
      <c r="AT35" s="45">
        <v>91259.6</v>
      </c>
      <c r="AV35" s="45">
        <v>30258.45</v>
      </c>
      <c r="AW35" s="45">
        <v>48454.549999999996</v>
      </c>
      <c r="AX35" s="45">
        <v>588.17999999999995</v>
      </c>
      <c r="AY35" s="45">
        <v>800223.13000000012</v>
      </c>
      <c r="AZ35" s="45">
        <v>244207.96000000002</v>
      </c>
      <c r="BA35" s="45">
        <v>204524</v>
      </c>
      <c r="BB35" s="45">
        <v>71718.899999999994</v>
      </c>
      <c r="BE35" s="2">
        <f t="shared" si="0"/>
        <v>14816791.150000004</v>
      </c>
      <c r="BG35" s="341"/>
      <c r="BH35" s="341">
        <v>641.33000000000004</v>
      </c>
      <c r="BI35" s="341">
        <v>472609.3600000001</v>
      </c>
      <c r="BJ35" s="341"/>
      <c r="BK35" s="341"/>
      <c r="BL35" s="341">
        <v>6014.66</v>
      </c>
      <c r="BM35" s="341">
        <v>27205.16</v>
      </c>
      <c r="BN35" s="341">
        <v>19337.82</v>
      </c>
      <c r="BO35" s="341">
        <v>947989.03</v>
      </c>
      <c r="BP35" s="341">
        <v>639.39</v>
      </c>
      <c r="BQ35" s="341"/>
      <c r="BR35" s="341"/>
      <c r="BS35" s="341">
        <v>75350</v>
      </c>
      <c r="BT35" s="341"/>
      <c r="BU35" s="341"/>
      <c r="BV35" s="341">
        <v>25000</v>
      </c>
      <c r="BW35" s="341"/>
      <c r="BX35" s="341"/>
      <c r="BY35" s="341">
        <v>41902.879999999997</v>
      </c>
      <c r="BZ35" s="341"/>
      <c r="CA35" s="341"/>
      <c r="CB35" s="347"/>
      <c r="CC35" s="341"/>
      <c r="CD35" s="341"/>
      <c r="CE35" s="341">
        <v>57716.999999999993</v>
      </c>
      <c r="CF35" s="341">
        <v>1076.5</v>
      </c>
      <c r="CG35" s="341"/>
      <c r="CH35" s="341">
        <v>492959.69999999995</v>
      </c>
      <c r="CI35" s="341">
        <v>181889.81</v>
      </c>
      <c r="CJ35" s="341">
        <v>4608.99</v>
      </c>
      <c r="CK35" s="341"/>
      <c r="CL35" s="341"/>
      <c r="CM35" s="341"/>
      <c r="CN35" s="341"/>
      <c r="CO35" s="341"/>
      <c r="CP35" s="347">
        <v>15167</v>
      </c>
      <c r="CQ35" s="341"/>
      <c r="CR35" s="342">
        <f t="shared" si="1"/>
        <v>1863638.1199999999</v>
      </c>
    </row>
    <row r="36" spans="1:96" x14ac:dyDescent="0.25">
      <c r="A36" s="45" t="s">
        <v>370</v>
      </c>
      <c r="B36" s="45">
        <v>-25362.13</v>
      </c>
      <c r="C36" s="45">
        <v>-21794.52</v>
      </c>
      <c r="D36" s="45">
        <v>141459</v>
      </c>
      <c r="E36" s="45">
        <v>17213.05</v>
      </c>
      <c r="G36" s="45">
        <v>145483.38</v>
      </c>
      <c r="H36" s="45">
        <v>1686827.9999999998</v>
      </c>
      <c r="I36" s="45">
        <v>313</v>
      </c>
      <c r="J36" s="45">
        <v>157703.85</v>
      </c>
      <c r="K36" s="45">
        <v>472066.56999999995</v>
      </c>
      <c r="L36" s="45">
        <v>896105.40000000014</v>
      </c>
      <c r="M36" s="45">
        <v>338518.24</v>
      </c>
      <c r="N36" s="45">
        <v>16466.670000000002</v>
      </c>
      <c r="O36" s="45">
        <v>330862.39</v>
      </c>
      <c r="P36" s="45">
        <v>14442.71</v>
      </c>
      <c r="Q36" s="45">
        <v>37987.340000000004</v>
      </c>
      <c r="R36" s="45">
        <v>29116.420000000006</v>
      </c>
      <c r="S36" s="45">
        <v>275016.5</v>
      </c>
      <c r="T36" s="45">
        <v>13373.330000000002</v>
      </c>
      <c r="U36" s="45">
        <v>8480.8300000000017</v>
      </c>
      <c r="V36" s="45">
        <v>2243.96</v>
      </c>
      <c r="W36" s="45">
        <v>418090.64999999997</v>
      </c>
      <c r="X36" s="45">
        <v>55911.880000000005</v>
      </c>
      <c r="Z36" s="45">
        <v>23499.999999999996</v>
      </c>
      <c r="AA36" s="45">
        <v>17065.23</v>
      </c>
      <c r="AB36" s="45">
        <v>358678.17</v>
      </c>
      <c r="AC36" s="45">
        <v>882747.99999999977</v>
      </c>
      <c r="AD36" s="45">
        <v>181086.95000000004</v>
      </c>
      <c r="AG36" s="45">
        <v>160981.77999999997</v>
      </c>
      <c r="AH36" s="45">
        <v>5928.16</v>
      </c>
      <c r="AI36" s="45">
        <v>71925.580000000016</v>
      </c>
      <c r="AJ36" s="45">
        <v>86584.189999999988</v>
      </c>
      <c r="AK36" s="45">
        <v>79218.41</v>
      </c>
      <c r="AL36" s="45">
        <v>5247.5</v>
      </c>
      <c r="AM36" s="45">
        <v>7152.75</v>
      </c>
      <c r="AN36" s="45">
        <v>13947.720000000001</v>
      </c>
      <c r="AO36" s="45">
        <v>3990.86</v>
      </c>
      <c r="AR36" s="45">
        <v>13004.43</v>
      </c>
      <c r="AS36" s="45">
        <v>3104</v>
      </c>
      <c r="AT36" s="45">
        <v>65921.679999999993</v>
      </c>
      <c r="AV36" s="45">
        <v>20233.650000000001</v>
      </c>
      <c r="AW36" s="45">
        <v>5785.880000000001</v>
      </c>
      <c r="AY36" s="45">
        <v>455434.9</v>
      </c>
      <c r="AZ36" s="45">
        <v>241591.97</v>
      </c>
      <c r="BA36" s="45">
        <v>103500</v>
      </c>
      <c r="BE36" s="2">
        <f t="shared" si="0"/>
        <v>7817158.3300000019</v>
      </c>
      <c r="BG36" s="341"/>
      <c r="BH36" s="341">
        <v>641.33000000000004</v>
      </c>
      <c r="BI36" s="341">
        <v>442657.35</v>
      </c>
      <c r="BJ36" s="341"/>
      <c r="BK36" s="341"/>
      <c r="BL36" s="341">
        <v>630.77</v>
      </c>
      <c r="BM36" s="341">
        <v>25391.48</v>
      </c>
      <c r="BN36" s="341"/>
      <c r="BO36" s="341">
        <v>1105583.1100000001</v>
      </c>
      <c r="BP36" s="341">
        <v>907.32</v>
      </c>
      <c r="BQ36" s="341"/>
      <c r="BR36" s="341"/>
      <c r="BS36" s="341">
        <v>74800</v>
      </c>
      <c r="BT36" s="341"/>
      <c r="BU36" s="341">
        <v>1481.96</v>
      </c>
      <c r="BV36" s="341"/>
      <c r="BW36" s="341"/>
      <c r="BX36" s="341"/>
      <c r="BY36" s="341">
        <v>26817.85</v>
      </c>
      <c r="BZ36" s="341"/>
      <c r="CA36" s="341"/>
      <c r="CB36" s="347"/>
      <c r="CC36" s="341"/>
      <c r="CD36" s="341"/>
      <c r="CE36" s="341">
        <v>102608</v>
      </c>
      <c r="CF36" s="341">
        <v>26912.5</v>
      </c>
      <c r="CG36" s="341"/>
      <c r="CH36" s="341">
        <v>665976.67000000004</v>
      </c>
      <c r="CI36" s="341">
        <v>72898.69</v>
      </c>
      <c r="CJ36" s="341">
        <v>240.4</v>
      </c>
      <c r="CK36" s="341"/>
      <c r="CL36" s="341"/>
      <c r="CM36" s="341"/>
      <c r="CN36" s="341"/>
      <c r="CO36" s="341"/>
      <c r="CP36" s="347">
        <v>6727</v>
      </c>
      <c r="CQ36" s="341"/>
      <c r="CR36" s="342">
        <f t="shared" si="1"/>
        <v>2084953.5</v>
      </c>
    </row>
    <row r="37" spans="1:96" x14ac:dyDescent="0.25">
      <c r="A37" s="45" t="s">
        <v>371</v>
      </c>
      <c r="B37" s="45">
        <v>-241284.19</v>
      </c>
      <c r="C37" s="45">
        <v>-31231.84</v>
      </c>
      <c r="D37" s="45">
        <v>707295</v>
      </c>
      <c r="E37" s="45">
        <v>118314.04000000001</v>
      </c>
      <c r="G37" s="45">
        <v>407353.46</v>
      </c>
      <c r="H37" s="45">
        <v>18642256</v>
      </c>
      <c r="I37" s="45">
        <v>110</v>
      </c>
      <c r="J37" s="45">
        <v>1953175.86</v>
      </c>
      <c r="K37" s="45">
        <v>5922855.25</v>
      </c>
      <c r="L37" s="45">
        <v>9910527.459999999</v>
      </c>
      <c r="M37" s="45">
        <v>2707566.5700000003</v>
      </c>
      <c r="N37" s="45">
        <v>233953.72999999998</v>
      </c>
      <c r="O37" s="45">
        <v>1829860.53</v>
      </c>
      <c r="P37" s="45">
        <v>33210.5</v>
      </c>
      <c r="Q37" s="45">
        <v>278000.34000000003</v>
      </c>
      <c r="R37" s="45">
        <v>237085.00999999995</v>
      </c>
      <c r="S37" s="45">
        <v>4390826.4700000007</v>
      </c>
      <c r="T37" s="45">
        <v>34823.58</v>
      </c>
      <c r="U37" s="45">
        <v>110866.12999999999</v>
      </c>
      <c r="V37" s="45">
        <v>76080.510000000009</v>
      </c>
      <c r="W37" s="45">
        <v>6099705.8999999994</v>
      </c>
      <c r="X37" s="45">
        <v>1187057.0900000001</v>
      </c>
      <c r="Z37" s="45">
        <v>23221.89</v>
      </c>
      <c r="AA37" s="45">
        <v>55992.15</v>
      </c>
      <c r="AB37" s="45">
        <v>1834603.5500000003</v>
      </c>
      <c r="AC37" s="45">
        <v>3918714.0000000005</v>
      </c>
      <c r="AD37" s="45">
        <v>803885.08999999985</v>
      </c>
      <c r="AG37" s="45">
        <v>1644223.33</v>
      </c>
      <c r="AH37" s="45">
        <v>23712.62</v>
      </c>
      <c r="AI37" s="45">
        <v>228878.72000000003</v>
      </c>
      <c r="AJ37" s="45">
        <v>530873.68999999983</v>
      </c>
      <c r="AK37" s="45">
        <v>429526.41</v>
      </c>
      <c r="AL37" s="45">
        <v>32083.25</v>
      </c>
      <c r="AM37" s="45">
        <v>56405</v>
      </c>
      <c r="AN37" s="45">
        <v>90558.069999999992</v>
      </c>
      <c r="AO37" s="45">
        <v>23803.200000000001</v>
      </c>
      <c r="AQ37" s="45">
        <v>301499.28000000003</v>
      </c>
      <c r="AR37" s="45">
        <v>81519.59</v>
      </c>
      <c r="AS37" s="45">
        <v>32048</v>
      </c>
      <c r="AT37" s="45">
        <v>461208.42999999993</v>
      </c>
      <c r="AU37" s="45">
        <v>30464</v>
      </c>
      <c r="AV37" s="45">
        <v>22322.15</v>
      </c>
      <c r="AW37" s="45">
        <v>165103.62</v>
      </c>
      <c r="AX37" s="45">
        <v>4705.43</v>
      </c>
      <c r="AY37" s="45">
        <v>4024600.0700000003</v>
      </c>
      <c r="AZ37" s="45">
        <v>876931.05000000016</v>
      </c>
      <c r="BA37" s="45">
        <v>168500</v>
      </c>
      <c r="BB37" s="45">
        <v>98962</v>
      </c>
      <c r="BE37" s="2">
        <f t="shared" si="0"/>
        <v>70572751.989999995</v>
      </c>
      <c r="BG37" s="341"/>
      <c r="BH37" s="341">
        <v>1923.98</v>
      </c>
      <c r="BI37" s="341">
        <v>934484.68000000017</v>
      </c>
      <c r="BJ37" s="341"/>
      <c r="BK37" s="341"/>
      <c r="BL37" s="341">
        <v>3223.29</v>
      </c>
      <c r="BM37" s="341">
        <v>41714.58</v>
      </c>
      <c r="BN37" s="341">
        <v>29591.75</v>
      </c>
      <c r="BO37" s="341">
        <v>3940733.73</v>
      </c>
      <c r="BP37" s="341">
        <v>3437.13</v>
      </c>
      <c r="BQ37" s="341"/>
      <c r="BR37" s="341">
        <v>800250</v>
      </c>
      <c r="BS37" s="341">
        <v>329175</v>
      </c>
      <c r="BT37" s="341"/>
      <c r="BU37" s="341">
        <v>3712.1400000000003</v>
      </c>
      <c r="BV37" s="341"/>
      <c r="BW37" s="341"/>
      <c r="BX37" s="341"/>
      <c r="BY37" s="341">
        <v>117328.07</v>
      </c>
      <c r="BZ37" s="341"/>
      <c r="CA37" s="341"/>
      <c r="CB37" s="347"/>
      <c r="CC37" s="341"/>
      <c r="CD37" s="341"/>
      <c r="CE37" s="341">
        <v>731082</v>
      </c>
      <c r="CF37" s="341">
        <v>1076.5</v>
      </c>
      <c r="CG37" s="341"/>
      <c r="CH37" s="341">
        <v>1743532.5899999999</v>
      </c>
      <c r="CI37" s="341">
        <v>320319.44</v>
      </c>
      <c r="CJ37" s="341">
        <v>7160.12</v>
      </c>
      <c r="CK37" s="341"/>
      <c r="CL37" s="341">
        <v>38748.78</v>
      </c>
      <c r="CM37" s="341"/>
      <c r="CN37" s="341"/>
      <c r="CO37" s="341"/>
      <c r="CP37" s="347">
        <v>73887</v>
      </c>
      <c r="CQ37" s="341"/>
      <c r="CR37" s="342">
        <f t="shared" si="1"/>
        <v>8140034.25</v>
      </c>
    </row>
    <row r="38" spans="1:96" x14ac:dyDescent="0.25">
      <c r="A38" s="45" t="s">
        <v>372</v>
      </c>
      <c r="B38" s="45">
        <v>-33584.29</v>
      </c>
      <c r="C38" s="45">
        <v>-3627.26</v>
      </c>
      <c r="D38" s="45">
        <v>141459</v>
      </c>
      <c r="E38" s="45">
        <v>7789.3700000000008</v>
      </c>
      <c r="G38" s="45">
        <v>29096.68</v>
      </c>
      <c r="H38" s="45">
        <v>1540248</v>
      </c>
      <c r="I38" s="45">
        <v>56</v>
      </c>
      <c r="J38" s="45">
        <v>144815.35999999999</v>
      </c>
      <c r="K38" s="45">
        <v>370604.85000000003</v>
      </c>
      <c r="L38" s="45">
        <v>722642.44</v>
      </c>
      <c r="M38" s="45">
        <v>89812.02</v>
      </c>
      <c r="O38" s="45">
        <v>271694.38</v>
      </c>
      <c r="P38" s="45">
        <v>1493.82</v>
      </c>
      <c r="Q38" s="45">
        <v>11177.980000000001</v>
      </c>
      <c r="R38" s="45">
        <v>7556.72</v>
      </c>
      <c r="S38" s="45">
        <v>341898.00999999989</v>
      </c>
      <c r="T38" s="45">
        <v>5597.34</v>
      </c>
      <c r="V38" s="45">
        <v>11394.339999999998</v>
      </c>
      <c r="W38" s="45">
        <v>834474.36</v>
      </c>
      <c r="X38" s="45">
        <v>91245.189999999988</v>
      </c>
      <c r="AA38" s="45">
        <v>13104.57</v>
      </c>
      <c r="AB38" s="45">
        <v>139430.53999999998</v>
      </c>
      <c r="AC38" s="45">
        <v>276397</v>
      </c>
      <c r="AD38" s="45">
        <v>56700.09</v>
      </c>
      <c r="AG38" s="45">
        <v>141145.57999999999</v>
      </c>
      <c r="AH38" s="45">
        <v>494.01</v>
      </c>
      <c r="AI38" s="45">
        <v>16075.02</v>
      </c>
      <c r="AJ38" s="45">
        <v>38221.509999999995</v>
      </c>
      <c r="AK38" s="45">
        <v>49999.999999999993</v>
      </c>
      <c r="AL38" s="45">
        <v>2577</v>
      </c>
      <c r="AM38" s="45">
        <v>3340.5</v>
      </c>
      <c r="AN38" s="45">
        <v>11291.65</v>
      </c>
      <c r="AO38" s="45">
        <v>1766.55</v>
      </c>
      <c r="AR38" s="45">
        <v>5416.37</v>
      </c>
      <c r="AS38" s="45">
        <v>1248</v>
      </c>
      <c r="AT38" s="45">
        <v>19716.95</v>
      </c>
      <c r="AV38" s="45">
        <v>16265.5</v>
      </c>
      <c r="AW38" s="45">
        <v>17567.2</v>
      </c>
      <c r="AY38" s="45">
        <v>335535.61</v>
      </c>
      <c r="AZ38" s="45">
        <v>61051.99</v>
      </c>
      <c r="BA38" s="45">
        <v>251250</v>
      </c>
      <c r="BE38" s="2">
        <f t="shared" ref="BE38:BE69" si="2">SUM(B38:BD38)</f>
        <v>6044439.9500000002</v>
      </c>
      <c r="BG38" s="341"/>
      <c r="BH38" s="341">
        <v>663.44</v>
      </c>
      <c r="BI38" s="341">
        <v>91482.68</v>
      </c>
      <c r="BJ38" s="341"/>
      <c r="BK38" s="341"/>
      <c r="BL38" s="341">
        <v>9050.33</v>
      </c>
      <c r="BM38" s="341">
        <v>6650.15</v>
      </c>
      <c r="BN38" s="341">
        <v>1652.79</v>
      </c>
      <c r="BO38" s="341">
        <v>294664.38</v>
      </c>
      <c r="BP38" s="341">
        <v>251.02</v>
      </c>
      <c r="BQ38" s="341"/>
      <c r="BR38" s="341">
        <v>90000</v>
      </c>
      <c r="BS38" s="341">
        <v>23925</v>
      </c>
      <c r="BT38" s="341"/>
      <c r="BU38" s="341"/>
      <c r="BV38" s="341"/>
      <c r="BW38" s="341"/>
      <c r="BX38" s="341"/>
      <c r="BY38" s="341">
        <v>21789.5</v>
      </c>
      <c r="BZ38" s="341"/>
      <c r="CA38" s="341"/>
      <c r="CB38" s="347"/>
      <c r="CC38" s="341"/>
      <c r="CD38" s="341"/>
      <c r="CE38" s="341">
        <v>48097.5</v>
      </c>
      <c r="CF38" s="341">
        <v>1076.5</v>
      </c>
      <c r="CG38" s="341"/>
      <c r="CH38" s="341">
        <v>163262</v>
      </c>
      <c r="CI38" s="341"/>
      <c r="CJ38" s="341"/>
      <c r="CK38" s="341"/>
      <c r="CL38" s="341"/>
      <c r="CM38" s="341"/>
      <c r="CN38" s="341"/>
      <c r="CO38" s="341"/>
      <c r="CP38" s="347">
        <v>6122</v>
      </c>
      <c r="CQ38" s="341"/>
      <c r="CR38" s="342">
        <f t="shared" si="1"/>
        <v>650840.68999999994</v>
      </c>
    </row>
    <row r="39" spans="1:96" x14ac:dyDescent="0.25">
      <c r="A39" s="45" t="s">
        <v>373</v>
      </c>
      <c r="B39" s="45">
        <v>-55881.960000000006</v>
      </c>
      <c r="C39" s="45">
        <v>-8233.4500000000007</v>
      </c>
      <c r="D39" s="45">
        <v>235765.00000000003</v>
      </c>
      <c r="E39" s="45">
        <v>26665.57</v>
      </c>
      <c r="G39" s="45">
        <v>145483.38</v>
      </c>
      <c r="H39" s="45">
        <v>4520762</v>
      </c>
      <c r="J39" s="45">
        <v>495952.54</v>
      </c>
      <c r="K39" s="45">
        <v>1360042.61</v>
      </c>
      <c r="L39" s="45">
        <v>2296497.3800000004</v>
      </c>
      <c r="M39" s="45">
        <v>415068.12</v>
      </c>
      <c r="N39" s="45">
        <v>21417.989999999998</v>
      </c>
      <c r="O39" s="45">
        <v>474135.58999999997</v>
      </c>
      <c r="P39" s="45">
        <v>6692.88</v>
      </c>
      <c r="Q39" s="45">
        <v>26940.480000000003</v>
      </c>
      <c r="R39" s="45">
        <v>100370.59999999998</v>
      </c>
      <c r="S39" s="45">
        <v>1513265.2499999998</v>
      </c>
      <c r="T39" s="45">
        <v>16189.48</v>
      </c>
      <c r="U39" s="45">
        <v>5396.4900000000007</v>
      </c>
      <c r="V39" s="45">
        <v>12850.8</v>
      </c>
      <c r="W39" s="45">
        <v>1292890.8999999999</v>
      </c>
      <c r="X39" s="45">
        <v>186504.52999999997</v>
      </c>
      <c r="Z39" s="45">
        <v>3617.0000000000005</v>
      </c>
      <c r="AA39" s="45">
        <v>20133.02</v>
      </c>
      <c r="AB39" s="45">
        <v>502296.8899999999</v>
      </c>
      <c r="AC39" s="45">
        <v>694621.00000000012</v>
      </c>
      <c r="AD39" s="45">
        <v>142494.57</v>
      </c>
      <c r="AG39" s="45">
        <v>466807.27</v>
      </c>
      <c r="AH39" s="45">
        <v>3952.1</v>
      </c>
      <c r="AI39" s="45">
        <v>96824.12</v>
      </c>
      <c r="AJ39" s="45">
        <v>117670.21999999997</v>
      </c>
      <c r="AK39" s="45">
        <v>49999.999999999993</v>
      </c>
      <c r="AL39" s="45">
        <v>6093.5</v>
      </c>
      <c r="AM39" s="45">
        <v>31320</v>
      </c>
      <c r="AN39" s="45">
        <v>27927.379999999997</v>
      </c>
      <c r="AO39" s="45">
        <v>4737.34</v>
      </c>
      <c r="AQ39" s="45">
        <v>4131.22</v>
      </c>
      <c r="AR39" s="45">
        <v>20689.75</v>
      </c>
      <c r="AS39" s="45">
        <v>4498</v>
      </c>
      <c r="AT39" s="45">
        <v>77314.759999999995</v>
      </c>
      <c r="AV39" s="45">
        <v>10000</v>
      </c>
      <c r="AW39" s="45">
        <v>51760.150000000009</v>
      </c>
      <c r="AX39" s="45">
        <v>588.17999999999995</v>
      </c>
      <c r="AY39" s="45">
        <v>1224479.3</v>
      </c>
      <c r="AZ39" s="45">
        <v>305259.95</v>
      </c>
      <c r="BA39" s="45">
        <v>66850</v>
      </c>
      <c r="BE39" s="2">
        <f t="shared" si="2"/>
        <v>17022841.900000002</v>
      </c>
      <c r="BG39" s="341">
        <v>1774.8</v>
      </c>
      <c r="BH39" s="341">
        <v>663.44</v>
      </c>
      <c r="BI39" s="341">
        <v>247887.04999999993</v>
      </c>
      <c r="BJ39" s="341"/>
      <c r="BK39" s="341">
        <v>64</v>
      </c>
      <c r="BL39" s="341">
        <v>1022.95</v>
      </c>
      <c r="BM39" s="341">
        <v>13300.3</v>
      </c>
      <c r="BN39" s="341">
        <v>3001.37</v>
      </c>
      <c r="BO39" s="341">
        <v>913290.29</v>
      </c>
      <c r="BP39" s="341">
        <v>761.45</v>
      </c>
      <c r="BQ39" s="341"/>
      <c r="BR39" s="341">
        <v>225250</v>
      </c>
      <c r="BS39" s="341">
        <v>63250</v>
      </c>
      <c r="BT39" s="341"/>
      <c r="BU39" s="341">
        <v>2315.63</v>
      </c>
      <c r="BV39" s="341"/>
      <c r="BW39" s="341"/>
      <c r="BX39" s="341">
        <v>33161</v>
      </c>
      <c r="BY39" s="341">
        <v>48607.35</v>
      </c>
      <c r="BZ39" s="341"/>
      <c r="CA39" s="341">
        <v>10000</v>
      </c>
      <c r="CB39" s="347"/>
      <c r="CC39" s="341"/>
      <c r="CD39" s="341"/>
      <c r="CE39" s="341">
        <v>73749.51999999999</v>
      </c>
      <c r="CF39" s="341">
        <v>1076.5</v>
      </c>
      <c r="CG39" s="341"/>
      <c r="CH39" s="341">
        <v>539329.19000000006</v>
      </c>
      <c r="CI39" s="341">
        <v>138586.65000000002</v>
      </c>
      <c r="CJ39" s="341">
        <v>1676.33</v>
      </c>
      <c r="CK39" s="341"/>
      <c r="CL39" s="341"/>
      <c r="CM39" s="341">
        <v>9712.7999999999993</v>
      </c>
      <c r="CN39" s="341">
        <v>10000</v>
      </c>
      <c r="CO39" s="341">
        <v>254000</v>
      </c>
      <c r="CP39" s="347">
        <v>17980</v>
      </c>
      <c r="CQ39" s="341"/>
      <c r="CR39" s="342">
        <f t="shared" si="1"/>
        <v>2345748.08</v>
      </c>
    </row>
    <row r="40" spans="1:96" x14ac:dyDescent="0.25">
      <c r="A40" s="45" t="s">
        <v>374</v>
      </c>
      <c r="B40" s="45">
        <v>-10351.94</v>
      </c>
      <c r="C40" s="45">
        <v>-530.66999999999996</v>
      </c>
      <c r="D40" s="45">
        <v>94306</v>
      </c>
      <c r="E40" s="45">
        <v>4904.46</v>
      </c>
      <c r="G40" s="45">
        <v>29096.68</v>
      </c>
      <c r="H40" s="45">
        <v>667510.99999999988</v>
      </c>
      <c r="J40" s="45">
        <v>67365.150000000009</v>
      </c>
      <c r="K40" s="45">
        <v>214380.25</v>
      </c>
      <c r="L40" s="45">
        <v>344707.88999999996</v>
      </c>
      <c r="M40" s="45">
        <v>98697.030000000013</v>
      </c>
      <c r="N40" s="45">
        <v>1288.05</v>
      </c>
      <c r="O40" s="45">
        <v>74916.360000000015</v>
      </c>
      <c r="Q40" s="45">
        <v>9821.3999999999978</v>
      </c>
      <c r="R40" s="45">
        <v>26920.299999999996</v>
      </c>
      <c r="S40" s="45">
        <v>188345.49000000002</v>
      </c>
      <c r="V40" s="45">
        <v>9853.5999999999985</v>
      </c>
      <c r="W40" s="45">
        <v>165476.74</v>
      </c>
      <c r="X40" s="45">
        <v>42618.439999999995</v>
      </c>
      <c r="AA40" s="45">
        <v>11890.73</v>
      </c>
      <c r="AB40" s="45">
        <v>103861.97</v>
      </c>
      <c r="AC40" s="45">
        <v>159096</v>
      </c>
      <c r="AD40" s="45">
        <v>32636.959999999999</v>
      </c>
      <c r="AG40" s="45">
        <v>77234.850000000006</v>
      </c>
      <c r="AH40" s="45">
        <v>1482.04</v>
      </c>
      <c r="AI40" s="45">
        <v>18549.660000000003</v>
      </c>
      <c r="AJ40" s="45">
        <v>23201.489999999998</v>
      </c>
      <c r="AK40" s="45">
        <v>49999.999999999993</v>
      </c>
      <c r="AL40" s="45">
        <v>1374.5</v>
      </c>
      <c r="AM40" s="45">
        <v>2750</v>
      </c>
      <c r="AN40" s="45">
        <v>1524.7799999999997</v>
      </c>
      <c r="AO40" s="45">
        <v>944.69</v>
      </c>
      <c r="AQ40" s="45">
        <v>25000</v>
      </c>
      <c r="AR40" s="45">
        <v>3046.96</v>
      </c>
      <c r="AS40" s="45">
        <v>656</v>
      </c>
      <c r="AT40" s="45">
        <v>13944.83</v>
      </c>
      <c r="AV40" s="45">
        <v>10417.700000000001</v>
      </c>
      <c r="AW40" s="45">
        <v>13959.27</v>
      </c>
      <c r="AY40" s="45">
        <v>199454.93999999997</v>
      </c>
      <c r="AZ40" s="45">
        <v>61051.990000000005</v>
      </c>
      <c r="BA40" s="45">
        <v>152997</v>
      </c>
      <c r="BE40" s="2">
        <f t="shared" si="2"/>
        <v>2994402.5900000008</v>
      </c>
      <c r="BG40" s="341"/>
      <c r="BH40" s="341">
        <v>663.44</v>
      </c>
      <c r="BI40" s="341">
        <v>63573.21</v>
      </c>
      <c r="BJ40" s="341"/>
      <c r="BK40" s="341"/>
      <c r="BL40" s="341"/>
      <c r="BM40" s="341">
        <v>4836.47</v>
      </c>
      <c r="BN40" s="341"/>
      <c r="BO40" s="341">
        <v>194154.54999999993</v>
      </c>
      <c r="BP40" s="341">
        <v>235.81</v>
      </c>
      <c r="BQ40" s="341"/>
      <c r="BR40" s="341">
        <v>450339.4</v>
      </c>
      <c r="BS40" s="341">
        <v>13750</v>
      </c>
      <c r="BT40" s="341"/>
      <c r="BU40" s="341"/>
      <c r="BV40" s="341"/>
      <c r="BW40" s="341"/>
      <c r="BX40" s="341"/>
      <c r="BY40" s="341">
        <v>15085.039999999999</v>
      </c>
      <c r="BZ40" s="341"/>
      <c r="CA40" s="341"/>
      <c r="CB40" s="347"/>
      <c r="CC40" s="341"/>
      <c r="CD40" s="341"/>
      <c r="CE40" s="341">
        <v>9619.5</v>
      </c>
      <c r="CF40" s="341">
        <v>1076.5</v>
      </c>
      <c r="CG40" s="341"/>
      <c r="CH40" s="341">
        <v>93006.22</v>
      </c>
      <c r="CI40" s="341"/>
      <c r="CJ40" s="341"/>
      <c r="CK40" s="341"/>
      <c r="CL40" s="341"/>
      <c r="CM40" s="341">
        <v>7217.28</v>
      </c>
      <c r="CN40" s="341"/>
      <c r="CO40" s="341"/>
      <c r="CP40" s="347">
        <v>2768</v>
      </c>
      <c r="CQ40" s="341"/>
      <c r="CR40" s="342">
        <f t="shared" si="1"/>
        <v>787252.3</v>
      </c>
    </row>
    <row r="41" spans="1:96" x14ac:dyDescent="0.25">
      <c r="A41" s="45" t="s">
        <v>375</v>
      </c>
      <c r="B41" s="45">
        <v>-47850.080000000002</v>
      </c>
      <c r="C41" s="45">
        <v>-10564.24</v>
      </c>
      <c r="D41" s="45">
        <v>188612</v>
      </c>
      <c r="E41" s="45">
        <v>8787.39</v>
      </c>
      <c r="G41" s="45">
        <v>29096.68</v>
      </c>
      <c r="H41" s="45">
        <v>1666330.9999999995</v>
      </c>
      <c r="I41" s="45">
        <v>110</v>
      </c>
      <c r="J41" s="45">
        <v>183351.11000000002</v>
      </c>
      <c r="K41" s="45">
        <v>411126.88000000012</v>
      </c>
      <c r="L41" s="45">
        <v>797259.37</v>
      </c>
      <c r="M41" s="45">
        <v>412981.58999999997</v>
      </c>
      <c r="N41" s="45">
        <v>26716.619999999995</v>
      </c>
      <c r="O41" s="45">
        <v>404127.57</v>
      </c>
      <c r="P41" s="45">
        <v>7970.829999999999</v>
      </c>
      <c r="Q41" s="45">
        <v>4106.8500000000004</v>
      </c>
      <c r="R41" s="45">
        <v>19165.310000000001</v>
      </c>
      <c r="S41" s="45">
        <v>452813.65</v>
      </c>
      <c r="V41" s="45">
        <v>9008.5800000000017</v>
      </c>
      <c r="W41" s="45">
        <v>351798.31000000011</v>
      </c>
      <c r="X41" s="45">
        <v>53168.290000000008</v>
      </c>
      <c r="AA41" s="45">
        <v>13452.15</v>
      </c>
      <c r="AB41" s="45">
        <v>143916.11000000002</v>
      </c>
      <c r="AC41" s="45">
        <v>295803</v>
      </c>
      <c r="AD41" s="45">
        <v>60681.040000000008</v>
      </c>
      <c r="AG41" s="45">
        <v>146764.79</v>
      </c>
      <c r="AH41" s="45">
        <v>494.01</v>
      </c>
      <c r="AI41" s="45">
        <v>17096.55</v>
      </c>
      <c r="AJ41" s="45">
        <v>40200.54</v>
      </c>
      <c r="AK41" s="45">
        <v>49999.999999999993</v>
      </c>
      <c r="AL41" s="45">
        <v>2363.5</v>
      </c>
      <c r="AM41" s="45">
        <v>4615</v>
      </c>
      <c r="AN41" s="45">
        <v>10333.370000000001</v>
      </c>
      <c r="AO41" s="45">
        <v>1787.39</v>
      </c>
      <c r="AR41" s="45">
        <v>6407.56</v>
      </c>
      <c r="AS41" s="45">
        <v>936</v>
      </c>
      <c r="AT41" s="45">
        <v>43364.83</v>
      </c>
      <c r="AV41" s="45">
        <v>10000</v>
      </c>
      <c r="AW41" s="45">
        <v>11989.360000000002</v>
      </c>
      <c r="AX41" s="45">
        <v>294.08999999999997</v>
      </c>
      <c r="AY41" s="45">
        <v>365333.27</v>
      </c>
      <c r="AZ41" s="45">
        <v>122103.98000000001</v>
      </c>
      <c r="BA41" s="45">
        <v>115744</v>
      </c>
      <c r="BE41" s="2">
        <f t="shared" si="2"/>
        <v>6431798.2500000019</v>
      </c>
      <c r="BG41" s="341"/>
      <c r="BH41" s="341">
        <v>663.44</v>
      </c>
      <c r="BI41" s="341">
        <v>77804.469999999987</v>
      </c>
      <c r="BJ41" s="341"/>
      <c r="BK41" s="341"/>
      <c r="BL41" s="341"/>
      <c r="BM41" s="341">
        <v>6045.59</v>
      </c>
      <c r="BN41" s="341">
        <v>3368.96</v>
      </c>
      <c r="BO41" s="341">
        <v>342333.13</v>
      </c>
      <c r="BP41" s="341">
        <v>360.15999999999997</v>
      </c>
      <c r="BQ41" s="341"/>
      <c r="BR41" s="341"/>
      <c r="BS41" s="341">
        <v>25850</v>
      </c>
      <c r="BT41" s="341"/>
      <c r="BU41" s="341"/>
      <c r="BV41" s="341">
        <v>2500</v>
      </c>
      <c r="BW41" s="341"/>
      <c r="BX41" s="341"/>
      <c r="BY41" s="341">
        <v>8380.58</v>
      </c>
      <c r="BZ41" s="341"/>
      <c r="CA41" s="341"/>
      <c r="CB41" s="347"/>
      <c r="CC41" s="341"/>
      <c r="CD41" s="341"/>
      <c r="CE41" s="341">
        <v>134673</v>
      </c>
      <c r="CF41" s="341">
        <v>1076.5</v>
      </c>
      <c r="CG41" s="341"/>
      <c r="CH41" s="341">
        <v>129286.67</v>
      </c>
      <c r="CI41" s="341"/>
      <c r="CJ41" s="341"/>
      <c r="CK41" s="341"/>
      <c r="CL41" s="341"/>
      <c r="CM41" s="341"/>
      <c r="CN41" s="341"/>
      <c r="CO41" s="341"/>
      <c r="CP41" s="347">
        <v>6625</v>
      </c>
      <c r="CQ41" s="341"/>
      <c r="CR41" s="342">
        <f t="shared" si="1"/>
        <v>654454</v>
      </c>
    </row>
    <row r="42" spans="1:96" x14ac:dyDescent="0.25">
      <c r="A42" s="45" t="s">
        <v>376</v>
      </c>
      <c r="B42" s="45">
        <v>-112209.98000000001</v>
      </c>
      <c r="C42" s="45">
        <v>-27461.07</v>
      </c>
      <c r="D42" s="45">
        <v>518683.00000000006</v>
      </c>
      <c r="E42" s="45">
        <v>64070.969999999994</v>
      </c>
      <c r="G42" s="45">
        <v>320063.43</v>
      </c>
      <c r="H42" s="45">
        <v>5748134</v>
      </c>
      <c r="J42" s="45">
        <v>580620.5</v>
      </c>
      <c r="K42" s="45">
        <v>1763655.0300000003</v>
      </c>
      <c r="L42" s="45">
        <v>3063647.83</v>
      </c>
      <c r="M42" s="45">
        <v>1167073.9500000002</v>
      </c>
      <c r="N42" s="45">
        <v>29206.009999999995</v>
      </c>
      <c r="O42" s="45">
        <v>488852.30000000005</v>
      </c>
      <c r="P42" s="45">
        <v>3262.3200000000006</v>
      </c>
      <c r="Q42" s="45">
        <v>96837.19</v>
      </c>
      <c r="R42" s="45">
        <v>52558.44</v>
      </c>
      <c r="S42" s="45">
        <v>1580944.5300000003</v>
      </c>
      <c r="T42" s="45">
        <v>54416.72</v>
      </c>
      <c r="U42" s="45">
        <v>32685.13</v>
      </c>
      <c r="V42" s="45">
        <v>22495.55</v>
      </c>
      <c r="W42" s="45">
        <v>1597679.4</v>
      </c>
      <c r="X42" s="45">
        <v>255369.37000000002</v>
      </c>
      <c r="AA42" s="45">
        <v>35534.36</v>
      </c>
      <c r="AB42" s="45">
        <v>1073494.3400000001</v>
      </c>
      <c r="AC42" s="45">
        <v>2202245</v>
      </c>
      <c r="AD42" s="45">
        <v>451768.60000000003</v>
      </c>
      <c r="AG42" s="45">
        <v>515281.20999999996</v>
      </c>
      <c r="AH42" s="45">
        <v>9139.24</v>
      </c>
      <c r="AI42" s="45">
        <v>130473.06</v>
      </c>
      <c r="AJ42" s="45">
        <v>299968.43999999994</v>
      </c>
      <c r="AK42" s="45">
        <v>232936.24999999997</v>
      </c>
      <c r="AL42" s="45">
        <v>19657.75</v>
      </c>
      <c r="AM42" s="45">
        <v>19206</v>
      </c>
      <c r="AN42" s="45">
        <v>20802.45</v>
      </c>
      <c r="AO42" s="45">
        <v>14184.03</v>
      </c>
      <c r="AR42" s="45">
        <v>50359.67</v>
      </c>
      <c r="AS42" s="45">
        <v>18803.2</v>
      </c>
      <c r="AT42" s="45">
        <v>211152.55999999994</v>
      </c>
      <c r="AV42" s="45">
        <v>18145.150000000001</v>
      </c>
      <c r="AW42" s="45">
        <v>73804.800000000003</v>
      </c>
      <c r="AX42" s="45">
        <v>588.17999999999995</v>
      </c>
      <c r="AY42" s="45">
        <v>1258945.3899999999</v>
      </c>
      <c r="AZ42" s="45">
        <v>641045.9</v>
      </c>
      <c r="BA42" s="45">
        <v>60000</v>
      </c>
      <c r="BC42" s="45">
        <v>45454.55</v>
      </c>
      <c r="BD42" s="45">
        <v>6818.19</v>
      </c>
      <c r="BE42" s="2">
        <f t="shared" si="2"/>
        <v>24710392.940000001</v>
      </c>
      <c r="BG42" s="341"/>
      <c r="BH42" s="341">
        <v>1282.6500000000001</v>
      </c>
      <c r="BI42" s="341">
        <v>786562.7</v>
      </c>
      <c r="BJ42" s="341"/>
      <c r="BK42" s="341"/>
      <c r="BL42" s="341"/>
      <c r="BM42" s="341">
        <v>49573.85</v>
      </c>
      <c r="BN42" s="341">
        <v>2844.37</v>
      </c>
      <c r="BO42" s="341">
        <v>2603762.4500000002</v>
      </c>
      <c r="BP42" s="341">
        <v>2305.98</v>
      </c>
      <c r="BQ42" s="341"/>
      <c r="BR42" s="341">
        <v>140000</v>
      </c>
      <c r="BS42" s="341">
        <v>184250</v>
      </c>
      <c r="BT42" s="341"/>
      <c r="BU42" s="341"/>
      <c r="BV42" s="341"/>
      <c r="BW42" s="341">
        <v>66667</v>
      </c>
      <c r="BX42" s="341"/>
      <c r="BY42" s="341">
        <v>98890.81</v>
      </c>
      <c r="BZ42" s="341"/>
      <c r="CA42" s="341"/>
      <c r="CB42" s="347"/>
      <c r="CC42" s="341"/>
      <c r="CD42" s="341"/>
      <c r="CE42" s="341">
        <v>700620.26</v>
      </c>
      <c r="CF42" s="341">
        <v>1076.5</v>
      </c>
      <c r="CG42" s="341"/>
      <c r="CH42" s="341">
        <v>1422487.41</v>
      </c>
      <c r="CI42" s="341">
        <v>210680.52000000002</v>
      </c>
      <c r="CJ42" s="341">
        <v>26611.95</v>
      </c>
      <c r="CK42" s="341"/>
      <c r="CL42" s="341"/>
      <c r="CM42" s="341"/>
      <c r="CN42" s="341"/>
      <c r="CO42" s="341"/>
      <c r="CP42" s="347">
        <v>22973</v>
      </c>
      <c r="CQ42" s="341"/>
      <c r="CR42" s="342">
        <f t="shared" si="1"/>
        <v>5483170.2500000009</v>
      </c>
    </row>
    <row r="43" spans="1:96" x14ac:dyDescent="0.25">
      <c r="A43" s="45" t="s">
        <v>377</v>
      </c>
      <c r="B43" s="45">
        <v>-780700.19</v>
      </c>
      <c r="C43" s="45">
        <v>-122273.31</v>
      </c>
      <c r="D43" s="45">
        <v>476245.00000000006</v>
      </c>
      <c r="E43" s="45">
        <v>562157.5199999999</v>
      </c>
      <c r="F43" s="45">
        <v>24850</v>
      </c>
      <c r="G43" s="45">
        <v>1483930.4699999997</v>
      </c>
      <c r="H43" s="45">
        <v>82543160</v>
      </c>
      <c r="I43" s="45">
        <v>385</v>
      </c>
      <c r="J43" s="45">
        <v>8919432.379999999</v>
      </c>
      <c r="K43" s="45">
        <v>26662451.729999997</v>
      </c>
      <c r="L43" s="45">
        <v>46102992.050000004</v>
      </c>
      <c r="M43" s="45">
        <v>16217738.639999999</v>
      </c>
      <c r="N43" s="45">
        <v>498424.96000000008</v>
      </c>
      <c r="O43" s="45">
        <v>10584890.600000001</v>
      </c>
      <c r="P43" s="45">
        <v>134548.04</v>
      </c>
      <c r="Q43" s="45">
        <v>1086199.78</v>
      </c>
      <c r="R43" s="45">
        <v>454940.89</v>
      </c>
      <c r="S43" s="45">
        <v>17934132.780000005</v>
      </c>
      <c r="T43" s="45">
        <v>351300.83000000007</v>
      </c>
      <c r="U43" s="45">
        <v>355901.84</v>
      </c>
      <c r="V43" s="45">
        <v>362379.34</v>
      </c>
      <c r="W43" s="45">
        <v>20973579.600000001</v>
      </c>
      <c r="X43" s="45">
        <v>5516469.4999999991</v>
      </c>
      <c r="Y43" s="45">
        <v>90274.75</v>
      </c>
      <c r="AA43" s="45">
        <v>226599.82</v>
      </c>
      <c r="AB43" s="45">
        <v>6895297.0799999982</v>
      </c>
      <c r="AC43" s="45">
        <v>16633969.999999998</v>
      </c>
      <c r="AD43" s="45">
        <v>3412293.0400000005</v>
      </c>
      <c r="AG43" s="45">
        <v>5972258.4099999992</v>
      </c>
      <c r="AH43" s="45">
        <v>65456.72</v>
      </c>
      <c r="AI43" s="45">
        <v>1057882.8200000003</v>
      </c>
      <c r="AJ43" s="45">
        <v>2367080.12</v>
      </c>
      <c r="AK43" s="45">
        <v>1672723.23</v>
      </c>
      <c r="AL43" s="45">
        <v>140468.25</v>
      </c>
      <c r="AM43" s="45">
        <v>229160</v>
      </c>
      <c r="AN43" s="45">
        <v>215327.38000000003</v>
      </c>
      <c r="AO43" s="45">
        <v>107232.82</v>
      </c>
      <c r="AP43" s="45">
        <v>2400000</v>
      </c>
      <c r="AQ43" s="45">
        <v>51820.31</v>
      </c>
      <c r="AR43" s="45">
        <v>339649.95</v>
      </c>
      <c r="AS43" s="45">
        <v>154470.39999999999</v>
      </c>
      <c r="AT43" s="45">
        <v>4154948.74</v>
      </c>
      <c r="AU43" s="45">
        <v>44744</v>
      </c>
      <c r="AV43" s="45">
        <v>115051.47</v>
      </c>
      <c r="AW43" s="45">
        <v>2832726.0399999996</v>
      </c>
      <c r="AX43" s="45">
        <v>8234.51</v>
      </c>
      <c r="AY43" s="45">
        <v>14497681.739999998</v>
      </c>
      <c r="AZ43" s="45">
        <v>2404966.02</v>
      </c>
      <c r="BA43" s="45">
        <v>516106</v>
      </c>
      <c r="BC43" s="45">
        <v>45454.54</v>
      </c>
      <c r="BD43" s="45">
        <v>6818.17</v>
      </c>
      <c r="BE43" s="2">
        <f t="shared" si="2"/>
        <v>307001833.78000003</v>
      </c>
      <c r="BG43" s="341">
        <v>20640.580000000002</v>
      </c>
      <c r="BH43" s="341">
        <v>14109.19</v>
      </c>
      <c r="BI43" s="341">
        <v>4946586.1600000011</v>
      </c>
      <c r="BJ43" s="341"/>
      <c r="BK43" s="341"/>
      <c r="BL43" s="341"/>
      <c r="BM43" s="341">
        <v>209177.46</v>
      </c>
      <c r="BN43" s="341">
        <v>79795.91</v>
      </c>
      <c r="BO43" s="341">
        <v>16658002.720000003</v>
      </c>
      <c r="BP43" s="341">
        <v>7780.27</v>
      </c>
      <c r="BQ43" s="341"/>
      <c r="BR43" s="341">
        <v>810000</v>
      </c>
      <c r="BS43" s="341">
        <v>1365575</v>
      </c>
      <c r="BT43" s="341">
        <v>12000</v>
      </c>
      <c r="BU43" s="341">
        <v>4709.66</v>
      </c>
      <c r="BV43" s="341"/>
      <c r="BW43" s="341">
        <v>66667</v>
      </c>
      <c r="BX43" s="341">
        <v>33161</v>
      </c>
      <c r="BY43" s="341">
        <v>539709.14</v>
      </c>
      <c r="BZ43" s="341">
        <v>56175</v>
      </c>
      <c r="CA43" s="341">
        <v>20000</v>
      </c>
      <c r="CB43" s="347"/>
      <c r="CC43" s="341"/>
      <c r="CD43" s="341"/>
      <c r="CE43" s="341">
        <v>3747471.2399999998</v>
      </c>
      <c r="CF43" s="341">
        <v>10765</v>
      </c>
      <c r="CG43" s="341">
        <v>2442846.3899999997</v>
      </c>
      <c r="CH43" s="341"/>
      <c r="CI43" s="341">
        <v>914865.36</v>
      </c>
      <c r="CJ43" s="341">
        <v>14300.75</v>
      </c>
      <c r="CK43" s="341"/>
      <c r="CL43" s="341"/>
      <c r="CM43" s="341"/>
      <c r="CN43" s="341"/>
      <c r="CO43" s="341"/>
      <c r="CP43" s="347">
        <v>328149</v>
      </c>
      <c r="CQ43" s="341"/>
      <c r="CR43" s="342">
        <f t="shared" si="1"/>
        <v>27111973.440000001</v>
      </c>
    </row>
    <row r="44" spans="1:96" x14ac:dyDescent="0.25">
      <c r="A44" s="45" t="s">
        <v>42</v>
      </c>
      <c r="B44" s="45">
        <v>-92955.060000000012</v>
      </c>
      <c r="C44" s="45">
        <v>-11112.88</v>
      </c>
      <c r="D44" s="45">
        <v>424377.00000000006</v>
      </c>
      <c r="E44" s="45">
        <v>67879.259999999995</v>
      </c>
      <c r="G44" s="45">
        <v>232773.41</v>
      </c>
      <c r="H44" s="45">
        <v>10258097</v>
      </c>
      <c r="I44" s="45">
        <v>165</v>
      </c>
      <c r="J44" s="45">
        <v>1120871.67</v>
      </c>
      <c r="K44" s="45">
        <v>3446039.21</v>
      </c>
      <c r="L44" s="45">
        <v>5999518.5199999986</v>
      </c>
      <c r="M44" s="45">
        <v>2191279.7000000002</v>
      </c>
      <c r="N44" s="45">
        <v>81918.98</v>
      </c>
      <c r="O44" s="45">
        <v>1076949.97</v>
      </c>
      <c r="P44" s="45">
        <v>13624.220000000003</v>
      </c>
      <c r="Q44" s="45">
        <v>6696.3200000000006</v>
      </c>
      <c r="R44" s="45">
        <v>131958.07</v>
      </c>
      <c r="S44" s="45">
        <v>1764760.6500000001</v>
      </c>
      <c r="T44" s="45">
        <v>59668.67</v>
      </c>
      <c r="U44" s="45">
        <v>39618.299999999996</v>
      </c>
      <c r="V44" s="45">
        <v>33925.46</v>
      </c>
      <c r="W44" s="45">
        <v>2256428.9299999997</v>
      </c>
      <c r="X44" s="45">
        <v>400930.22000000003</v>
      </c>
      <c r="AA44" s="45">
        <v>35674.629999999997</v>
      </c>
      <c r="AB44" s="45">
        <v>1074609.54</v>
      </c>
      <c r="AC44" s="45">
        <v>1841799.9999999998</v>
      </c>
      <c r="AD44" s="45">
        <v>377826.9</v>
      </c>
      <c r="AG44" s="45">
        <v>932622.0399999998</v>
      </c>
      <c r="AH44" s="45">
        <v>10127.27</v>
      </c>
      <c r="AI44" s="45">
        <v>124781.35999999999</v>
      </c>
      <c r="AJ44" s="45">
        <v>284597.24</v>
      </c>
      <c r="AK44" s="45">
        <v>59639.710000000006</v>
      </c>
      <c r="AL44" s="45">
        <v>16382.25</v>
      </c>
      <c r="AM44" s="45">
        <v>17816</v>
      </c>
      <c r="AN44" s="45">
        <v>35276.299999999996</v>
      </c>
      <c r="AO44" s="45">
        <v>12365.07</v>
      </c>
      <c r="AR44" s="45">
        <v>50298.85</v>
      </c>
      <c r="AS44" s="45">
        <v>3520</v>
      </c>
      <c r="AT44" s="45">
        <v>377734.31</v>
      </c>
      <c r="AV44" s="45">
        <v>10835.4</v>
      </c>
      <c r="AW44" s="45">
        <v>353148.97000000003</v>
      </c>
      <c r="AX44" s="45">
        <v>882.27</v>
      </c>
      <c r="AY44" s="45">
        <v>2411409.2199999997</v>
      </c>
      <c r="AZ44" s="45">
        <v>488415.92000000004</v>
      </c>
      <c r="BA44" s="45">
        <v>60000</v>
      </c>
      <c r="BE44" s="2">
        <f t="shared" si="2"/>
        <v>38083175.870000005</v>
      </c>
      <c r="BG44" s="341">
        <v>107.69</v>
      </c>
      <c r="BH44" s="341">
        <v>641.33000000000004</v>
      </c>
      <c r="BI44" s="341">
        <v>696916.1599999998</v>
      </c>
      <c r="BJ44" s="341"/>
      <c r="BK44" s="341">
        <v>432</v>
      </c>
      <c r="BL44" s="341">
        <v>1965.1</v>
      </c>
      <c r="BM44" s="341">
        <v>28414.28</v>
      </c>
      <c r="BN44" s="341">
        <v>2159.38</v>
      </c>
      <c r="BO44" s="341">
        <v>2307370.8099999996</v>
      </c>
      <c r="BP44" s="341">
        <v>2462.88</v>
      </c>
      <c r="BQ44" s="341"/>
      <c r="BR44" s="341"/>
      <c r="BS44" s="341">
        <v>162525</v>
      </c>
      <c r="BT44" s="341"/>
      <c r="BU44" s="341">
        <v>2223.0100000000002</v>
      </c>
      <c r="BV44" s="341"/>
      <c r="BW44" s="341">
        <v>66667</v>
      </c>
      <c r="BX44" s="341"/>
      <c r="BY44" s="341">
        <v>100566.92</v>
      </c>
      <c r="BZ44" s="341"/>
      <c r="CA44" s="341"/>
      <c r="CB44" s="347"/>
      <c r="CC44" s="341"/>
      <c r="CD44" s="341"/>
      <c r="CE44" s="341">
        <v>534202.96</v>
      </c>
      <c r="CF44" s="341">
        <v>1076.5</v>
      </c>
      <c r="CG44" s="341"/>
      <c r="CH44" s="341">
        <v>976498.52</v>
      </c>
      <c r="CI44" s="341">
        <v>272934.15999999997</v>
      </c>
      <c r="CJ44" s="341">
        <v>4281.78</v>
      </c>
      <c r="CK44" s="341"/>
      <c r="CL44" s="341"/>
      <c r="CM44" s="341">
        <v>32376</v>
      </c>
      <c r="CN44" s="341"/>
      <c r="CO44" s="341"/>
      <c r="CP44" s="347">
        <v>40583</v>
      </c>
      <c r="CQ44" s="341"/>
      <c r="CR44" s="342">
        <f t="shared" si="1"/>
        <v>4505927.919999999</v>
      </c>
    </row>
    <row r="45" spans="1:96" x14ac:dyDescent="0.25">
      <c r="A45" s="45" t="s">
        <v>43</v>
      </c>
      <c r="B45" s="45">
        <v>-14801.07</v>
      </c>
      <c r="C45" s="45">
        <v>-3865.57</v>
      </c>
      <c r="D45" s="45">
        <v>94306</v>
      </c>
      <c r="E45" s="45">
        <v>6884.4999999999991</v>
      </c>
      <c r="G45" s="45">
        <v>58193.35</v>
      </c>
      <c r="H45" s="45">
        <v>1206659.9999999998</v>
      </c>
      <c r="I45" s="45">
        <v>55</v>
      </c>
      <c r="J45" s="45">
        <v>124527.48000000001</v>
      </c>
      <c r="K45" s="45">
        <v>367076.48</v>
      </c>
      <c r="L45" s="45">
        <v>636796.6399999999</v>
      </c>
      <c r="M45" s="45">
        <v>77327.38</v>
      </c>
      <c r="N45" s="45">
        <v>13011.920000000004</v>
      </c>
      <c r="O45" s="45">
        <v>125059.01000000002</v>
      </c>
      <c r="P45" s="45">
        <v>3848.3</v>
      </c>
      <c r="Q45" s="45">
        <v>2267.46</v>
      </c>
      <c r="R45" s="45">
        <v>13605.970000000001</v>
      </c>
      <c r="S45" s="45">
        <v>354659.88</v>
      </c>
      <c r="T45" s="45">
        <v>5464.1599999999989</v>
      </c>
      <c r="U45" s="45">
        <v>350.65999999999997</v>
      </c>
      <c r="V45" s="45">
        <v>2167.7400000000002</v>
      </c>
      <c r="W45" s="45">
        <v>506019.12999999989</v>
      </c>
      <c r="X45" s="45">
        <v>45839.380000000005</v>
      </c>
      <c r="AA45" s="45">
        <v>12598.69</v>
      </c>
      <c r="AB45" s="45">
        <v>114022.65</v>
      </c>
      <c r="AC45" s="45">
        <v>213617.99999999997</v>
      </c>
      <c r="AD45" s="45">
        <v>43821.599999999999</v>
      </c>
      <c r="AG45" s="45">
        <v>109474.47</v>
      </c>
      <c r="AH45" s="45">
        <v>741.02</v>
      </c>
      <c r="AI45" s="45">
        <v>18168.43</v>
      </c>
      <c r="AJ45" s="45">
        <v>30173.759999999995</v>
      </c>
      <c r="AK45" s="45">
        <v>49999.999999999993</v>
      </c>
      <c r="AL45" s="45">
        <v>1769.75</v>
      </c>
      <c r="AM45" s="45">
        <v>892.5</v>
      </c>
      <c r="AN45" s="45">
        <v>3252.9800000000005</v>
      </c>
      <c r="AO45" s="45">
        <v>1266.42</v>
      </c>
      <c r="AR45" s="45">
        <v>5180.12</v>
      </c>
      <c r="AS45" s="45">
        <v>1024</v>
      </c>
      <c r="AT45" s="45">
        <v>22409.420000000002</v>
      </c>
      <c r="AV45" s="45">
        <v>10000</v>
      </c>
      <c r="AW45" s="45">
        <v>13500.930000000002</v>
      </c>
      <c r="AY45" s="45">
        <v>288197.02999999997</v>
      </c>
      <c r="AZ45" s="45">
        <v>91577.989999999991</v>
      </c>
      <c r="BA45" s="45">
        <v>96814</v>
      </c>
      <c r="BE45" s="2">
        <f t="shared" si="2"/>
        <v>4753957.5600000005</v>
      </c>
      <c r="BG45" s="341"/>
      <c r="BH45" s="341">
        <v>663.44</v>
      </c>
      <c r="BI45" s="341">
        <v>65339.140000000007</v>
      </c>
      <c r="BJ45" s="341"/>
      <c r="BK45" s="341"/>
      <c r="BL45" s="341"/>
      <c r="BM45" s="341">
        <v>4836.47</v>
      </c>
      <c r="BN45" s="341">
        <v>2513.81</v>
      </c>
      <c r="BO45" s="341">
        <v>243347.15999999997</v>
      </c>
      <c r="BP45" s="341">
        <v>139.24</v>
      </c>
      <c r="BQ45" s="341"/>
      <c r="BR45" s="341">
        <v>200000</v>
      </c>
      <c r="BS45" s="341">
        <v>19525</v>
      </c>
      <c r="BT45" s="341"/>
      <c r="BU45" s="341"/>
      <c r="BV45" s="341"/>
      <c r="BW45" s="341"/>
      <c r="BX45" s="341">
        <v>33161</v>
      </c>
      <c r="BY45" s="341">
        <v>8380.58</v>
      </c>
      <c r="BZ45" s="341"/>
      <c r="CA45" s="341"/>
      <c r="CB45" s="347"/>
      <c r="CC45" s="341"/>
      <c r="CD45" s="341"/>
      <c r="CE45" s="341">
        <v>28858.499999999993</v>
      </c>
      <c r="CF45" s="341">
        <v>1076.5</v>
      </c>
      <c r="CG45" s="341"/>
      <c r="CH45" s="341">
        <v>141547.19</v>
      </c>
      <c r="CI45" s="341"/>
      <c r="CJ45" s="341"/>
      <c r="CK45" s="341"/>
      <c r="CL45" s="341"/>
      <c r="CM45" s="341"/>
      <c r="CN45" s="341"/>
      <c r="CO45" s="341"/>
      <c r="CP45" s="347">
        <v>4846</v>
      </c>
      <c r="CQ45" s="341"/>
      <c r="CR45" s="342">
        <f t="shared" si="1"/>
        <v>683394.98</v>
      </c>
    </row>
    <row r="46" spans="1:96" x14ac:dyDescent="0.25">
      <c r="A46" s="45" t="s">
        <v>44</v>
      </c>
      <c r="B46" s="45">
        <v>-19503.87</v>
      </c>
      <c r="C46" s="45">
        <v>-4401.42</v>
      </c>
      <c r="D46" s="45">
        <v>94306</v>
      </c>
      <c r="E46" s="45">
        <v>10835.160000000002</v>
      </c>
      <c r="G46" s="45">
        <v>58193.35</v>
      </c>
      <c r="H46" s="45">
        <v>1427656</v>
      </c>
      <c r="I46" s="45">
        <v>110</v>
      </c>
      <c r="J46" s="45">
        <v>150288.16</v>
      </c>
      <c r="K46" s="45">
        <v>469174.64</v>
      </c>
      <c r="L46" s="45">
        <v>834458.33</v>
      </c>
      <c r="M46" s="45">
        <v>144570.09</v>
      </c>
      <c r="N46" s="45">
        <v>4592.57</v>
      </c>
      <c r="O46" s="45">
        <v>125396.83000000003</v>
      </c>
      <c r="P46" s="45">
        <v>6180.4499999999989</v>
      </c>
      <c r="Q46" s="45">
        <v>3144.17</v>
      </c>
      <c r="R46" s="45">
        <v>8045.369999999999</v>
      </c>
      <c r="S46" s="45">
        <v>280247.11999999994</v>
      </c>
      <c r="T46" s="45">
        <v>3961.0399999999995</v>
      </c>
      <c r="U46" s="45">
        <v>3961.04</v>
      </c>
      <c r="V46" s="45">
        <v>1582.56</v>
      </c>
      <c r="W46" s="45">
        <v>613035.75000000012</v>
      </c>
      <c r="X46" s="45">
        <v>37714.61</v>
      </c>
      <c r="AA46" s="45">
        <v>14292.68</v>
      </c>
      <c r="AB46" s="45">
        <v>162942.59999999998</v>
      </c>
      <c r="AC46" s="45">
        <v>408396.00000000012</v>
      </c>
      <c r="AD46" s="45">
        <v>83778.36000000003</v>
      </c>
      <c r="AG46" s="45">
        <v>116503.76999999999</v>
      </c>
      <c r="AH46" s="45">
        <v>494.01</v>
      </c>
      <c r="AI46" s="45">
        <v>21958.330000000005</v>
      </c>
      <c r="AJ46" s="45">
        <v>49373.069999999992</v>
      </c>
      <c r="AK46" s="45">
        <v>212854.56999999998</v>
      </c>
      <c r="AL46" s="45">
        <v>3298.5</v>
      </c>
      <c r="AM46" s="45">
        <v>121005</v>
      </c>
      <c r="AN46" s="45">
        <v>7197.6800000000012</v>
      </c>
      <c r="AO46" s="45">
        <v>2377.66</v>
      </c>
      <c r="AR46" s="45">
        <v>8340.25</v>
      </c>
      <c r="AS46" s="45">
        <v>3568</v>
      </c>
      <c r="AT46" s="45">
        <v>64517.100000000006</v>
      </c>
      <c r="AV46" s="45">
        <v>66991.25</v>
      </c>
      <c r="AW46" s="45">
        <v>2049.8699999999994</v>
      </c>
      <c r="AX46" s="45">
        <v>294.08999999999997</v>
      </c>
      <c r="AY46" s="45">
        <v>285841.88999999996</v>
      </c>
      <c r="AZ46" s="45">
        <v>61051.99</v>
      </c>
      <c r="BA46" s="45">
        <v>145000</v>
      </c>
      <c r="BE46" s="2">
        <f t="shared" si="2"/>
        <v>6095674.6200000001</v>
      </c>
      <c r="BG46" s="341"/>
      <c r="BH46" s="341">
        <v>663.44</v>
      </c>
      <c r="BI46" s="341">
        <v>83656.249999999985</v>
      </c>
      <c r="BJ46" s="341"/>
      <c r="BK46" s="341"/>
      <c r="BL46" s="341"/>
      <c r="BM46" s="341">
        <v>6045.59</v>
      </c>
      <c r="BN46" s="341"/>
      <c r="BO46" s="341">
        <v>387025.70999999996</v>
      </c>
      <c r="BP46" s="341">
        <v>468.98</v>
      </c>
      <c r="BQ46" s="341"/>
      <c r="BR46" s="341"/>
      <c r="BS46" s="341">
        <v>34375</v>
      </c>
      <c r="BT46" s="341"/>
      <c r="BU46" s="341"/>
      <c r="BV46" s="341"/>
      <c r="BW46" s="341"/>
      <c r="BX46" s="341"/>
      <c r="BY46" s="341">
        <v>13408.92</v>
      </c>
      <c r="BZ46" s="341"/>
      <c r="CA46" s="341"/>
      <c r="CB46" s="347"/>
      <c r="CC46" s="341"/>
      <c r="CD46" s="341"/>
      <c r="CE46" s="341">
        <v>57717</v>
      </c>
      <c r="CF46" s="341">
        <v>1076.5</v>
      </c>
      <c r="CG46" s="341"/>
      <c r="CH46" s="341">
        <v>180400.00000000003</v>
      </c>
      <c r="CI46" s="341"/>
      <c r="CJ46" s="341"/>
      <c r="CK46" s="341"/>
      <c r="CL46" s="341"/>
      <c r="CM46" s="341"/>
      <c r="CN46" s="341"/>
      <c r="CO46" s="341"/>
      <c r="CP46" s="347">
        <v>5645</v>
      </c>
      <c r="CQ46" s="341"/>
      <c r="CR46" s="342">
        <f t="shared" si="1"/>
        <v>680117.11</v>
      </c>
    </row>
    <row r="47" spans="1:96" x14ac:dyDescent="0.25">
      <c r="A47" s="45" t="s">
        <v>378</v>
      </c>
      <c r="B47" s="45">
        <v>-46985.61</v>
      </c>
      <c r="C47" s="45">
        <v>-11194.86</v>
      </c>
      <c r="D47" s="45">
        <v>188612</v>
      </c>
      <c r="E47" s="45">
        <v>15755.77</v>
      </c>
      <c r="G47" s="45">
        <v>116386.69999999998</v>
      </c>
      <c r="H47" s="45">
        <v>2658317</v>
      </c>
      <c r="J47" s="45">
        <v>265959.11</v>
      </c>
      <c r="K47" s="45">
        <v>845305.32</v>
      </c>
      <c r="L47" s="45">
        <v>1586974.5700000003</v>
      </c>
      <c r="M47" s="45">
        <v>465016.74000000005</v>
      </c>
      <c r="N47" s="45">
        <v>29395.480000000003</v>
      </c>
      <c r="O47" s="45">
        <v>365961.38000000012</v>
      </c>
      <c r="P47" s="45">
        <v>1955.5900000000001</v>
      </c>
      <c r="Q47" s="45">
        <v>11877.590000000002</v>
      </c>
      <c r="R47" s="45">
        <v>6154.8600000000006</v>
      </c>
      <c r="S47" s="45">
        <v>268429.31999999995</v>
      </c>
      <c r="T47" s="45">
        <v>12742.160000000002</v>
      </c>
      <c r="U47" s="45">
        <v>6843.7500000000009</v>
      </c>
      <c r="V47" s="45">
        <v>8110.52</v>
      </c>
      <c r="W47" s="45">
        <v>911918.61</v>
      </c>
      <c r="X47" s="45">
        <v>107927.51999999999</v>
      </c>
      <c r="AA47" s="45">
        <v>16280.84</v>
      </c>
      <c r="AB47" s="45">
        <v>283563.49</v>
      </c>
      <c r="AC47" s="45">
        <v>519638</v>
      </c>
      <c r="AD47" s="45">
        <v>106598.54999999999</v>
      </c>
      <c r="AG47" s="45">
        <v>259557.15000000005</v>
      </c>
      <c r="AH47" s="45">
        <v>1482.04</v>
      </c>
      <c r="AI47" s="45">
        <v>44771.200000000004</v>
      </c>
      <c r="AJ47" s="45">
        <v>72099.090000000011</v>
      </c>
      <c r="AK47" s="45">
        <v>58836.48000000001</v>
      </c>
      <c r="AL47" s="45">
        <v>4518</v>
      </c>
      <c r="AM47" s="45">
        <v>8825</v>
      </c>
      <c r="AN47" s="45">
        <v>23693.420000000002</v>
      </c>
      <c r="AO47" s="45">
        <v>3338.26</v>
      </c>
      <c r="AR47" s="45">
        <v>6631.2</v>
      </c>
      <c r="AS47" s="45">
        <v>4528</v>
      </c>
      <c r="AT47" s="45">
        <v>63278.51</v>
      </c>
      <c r="AV47" s="45">
        <v>47384.15</v>
      </c>
      <c r="AW47" s="45">
        <v>4797.72</v>
      </c>
      <c r="AX47" s="45">
        <v>294.08999999999997</v>
      </c>
      <c r="AY47" s="45">
        <v>675849.02999999991</v>
      </c>
      <c r="AZ47" s="45">
        <v>297992.19999999995</v>
      </c>
      <c r="BA47" s="45">
        <v>207100</v>
      </c>
      <c r="BB47" s="45">
        <v>150000</v>
      </c>
      <c r="BE47" s="2">
        <f t="shared" si="2"/>
        <v>10676519.939999999</v>
      </c>
      <c r="BG47" s="341"/>
      <c r="BH47" s="341">
        <v>663.44</v>
      </c>
      <c r="BI47" s="341">
        <v>203946.66000000003</v>
      </c>
      <c r="BJ47" s="341"/>
      <c r="BK47" s="341"/>
      <c r="BL47" s="341">
        <v>597.66999999999996</v>
      </c>
      <c r="BM47" s="341">
        <v>12091.18</v>
      </c>
      <c r="BN47" s="341">
        <v>5104.3500000000004</v>
      </c>
      <c r="BO47" s="341">
        <v>597608.24999999988</v>
      </c>
      <c r="BP47" s="341">
        <v>751.68000000000006</v>
      </c>
      <c r="BQ47" s="341"/>
      <c r="BR47" s="341"/>
      <c r="BS47" s="341">
        <v>44825</v>
      </c>
      <c r="BT47" s="341"/>
      <c r="BU47" s="341"/>
      <c r="BV47" s="341"/>
      <c r="BW47" s="341"/>
      <c r="BX47" s="341">
        <v>33161</v>
      </c>
      <c r="BY47" s="341">
        <v>11732.810000000001</v>
      </c>
      <c r="BZ47" s="341"/>
      <c r="CA47" s="341">
        <v>10000</v>
      </c>
      <c r="CB47" s="347"/>
      <c r="CC47" s="341"/>
      <c r="CD47" s="341"/>
      <c r="CE47" s="341">
        <v>179564</v>
      </c>
      <c r="CF47" s="341">
        <v>1076.5</v>
      </c>
      <c r="CG47" s="341"/>
      <c r="CH47" s="341">
        <v>433360.89000000013</v>
      </c>
      <c r="CI47" s="341">
        <v>165690.00999999998</v>
      </c>
      <c r="CJ47" s="341">
        <v>21981.7</v>
      </c>
      <c r="CK47" s="341"/>
      <c r="CL47" s="341"/>
      <c r="CM47" s="341">
        <v>27239.32</v>
      </c>
      <c r="CN47" s="341"/>
      <c r="CO47" s="341">
        <v>280000</v>
      </c>
      <c r="CP47" s="347">
        <v>10571</v>
      </c>
      <c r="CQ47" s="341"/>
      <c r="CR47" s="342">
        <f t="shared" si="1"/>
        <v>1822666.51</v>
      </c>
    </row>
    <row r="48" spans="1:96" x14ac:dyDescent="0.25">
      <c r="A48" s="45" t="s">
        <v>379</v>
      </c>
      <c r="B48" s="45">
        <v>-3959.9700000000003</v>
      </c>
      <c r="C48" s="45">
        <v>-360.1</v>
      </c>
      <c r="D48" s="45">
        <v>94306</v>
      </c>
      <c r="E48" s="45">
        <v>5082.74</v>
      </c>
      <c r="G48" s="45">
        <v>29096.68</v>
      </c>
      <c r="H48" s="45">
        <v>791205</v>
      </c>
      <c r="J48" s="45">
        <v>95382.94</v>
      </c>
      <c r="K48" s="45">
        <v>224248.96000000002</v>
      </c>
      <c r="L48" s="45">
        <v>468288.55999999988</v>
      </c>
      <c r="M48" s="45">
        <v>167129.66</v>
      </c>
      <c r="N48" s="45">
        <v>11656.219999999998</v>
      </c>
      <c r="O48" s="45">
        <v>142331.62</v>
      </c>
      <c r="P48" s="45">
        <v>361.88</v>
      </c>
      <c r="Q48" s="45">
        <v>3256.89</v>
      </c>
      <c r="R48" s="45">
        <v>4478.0300000000007</v>
      </c>
      <c r="S48" s="45">
        <v>159168.37999999998</v>
      </c>
      <c r="T48" s="45">
        <v>1309.02</v>
      </c>
      <c r="V48" s="45">
        <v>8295.7099999999991</v>
      </c>
      <c r="W48" s="45">
        <v>156416.33000000002</v>
      </c>
      <c r="AA48" s="45">
        <v>11927.36</v>
      </c>
      <c r="AB48" s="45">
        <v>104295.64999999998</v>
      </c>
      <c r="AC48" s="45">
        <v>190189</v>
      </c>
      <c r="AD48" s="45">
        <v>39015.380000000005</v>
      </c>
      <c r="AG48" s="45">
        <v>79669.899999999994</v>
      </c>
      <c r="AH48" s="45">
        <v>494.01</v>
      </c>
      <c r="AI48" s="45">
        <v>19302.29</v>
      </c>
      <c r="AJ48" s="45">
        <v>22781.680000000004</v>
      </c>
      <c r="AK48" s="45">
        <v>49999.999999999993</v>
      </c>
      <c r="AL48" s="45">
        <v>1698.25</v>
      </c>
      <c r="AM48" s="45">
        <v>1776.5</v>
      </c>
      <c r="AN48" s="45">
        <v>6323.3099999999995</v>
      </c>
      <c r="AO48" s="45">
        <v>986.79</v>
      </c>
      <c r="AQ48" s="45">
        <v>25000</v>
      </c>
      <c r="AR48" s="45">
        <v>4118.28</v>
      </c>
      <c r="AS48" s="45">
        <v>816</v>
      </c>
      <c r="AT48" s="45">
        <v>1428.4599999999998</v>
      </c>
      <c r="AV48" s="45">
        <v>10000</v>
      </c>
      <c r="AW48" s="45">
        <v>9446.869999999999</v>
      </c>
      <c r="AY48" s="45">
        <v>231372.21</v>
      </c>
      <c r="AZ48" s="45">
        <v>61051.99</v>
      </c>
      <c r="BA48" s="45">
        <v>300800</v>
      </c>
      <c r="BE48" s="2">
        <f t="shared" si="2"/>
        <v>3530188.4799999991</v>
      </c>
      <c r="BG48" s="341">
        <v>2856.7</v>
      </c>
      <c r="BH48" s="341">
        <v>663.44</v>
      </c>
      <c r="BI48" s="341">
        <v>87153.47</v>
      </c>
      <c r="BJ48" s="341"/>
      <c r="BK48" s="341"/>
      <c r="BL48" s="341">
        <v>246.58</v>
      </c>
      <c r="BM48" s="341">
        <v>6650.15</v>
      </c>
      <c r="BN48" s="341"/>
      <c r="BO48" s="341">
        <v>218478.49</v>
      </c>
      <c r="BP48" s="341">
        <v>339.51</v>
      </c>
      <c r="BQ48" s="341"/>
      <c r="BR48" s="341">
        <v>75000</v>
      </c>
      <c r="BS48" s="341">
        <v>16225</v>
      </c>
      <c r="BT48" s="341"/>
      <c r="BU48" s="341"/>
      <c r="BV48" s="341"/>
      <c r="BW48" s="341"/>
      <c r="BX48" s="341"/>
      <c r="BY48" s="341">
        <v>13408.92</v>
      </c>
      <c r="BZ48" s="341"/>
      <c r="CA48" s="341"/>
      <c r="CB48" s="347"/>
      <c r="CC48" s="341"/>
      <c r="CD48" s="341"/>
      <c r="CE48" s="341"/>
      <c r="CF48" s="341">
        <v>1076.5</v>
      </c>
      <c r="CG48" s="341"/>
      <c r="CH48" s="341">
        <v>122705.40999999997</v>
      </c>
      <c r="CI48" s="341"/>
      <c r="CJ48" s="341"/>
      <c r="CK48" s="341"/>
      <c r="CL48" s="341"/>
      <c r="CM48" s="341">
        <v>17861.11</v>
      </c>
      <c r="CN48" s="341"/>
      <c r="CO48" s="341"/>
      <c r="CP48" s="347">
        <v>3161</v>
      </c>
      <c r="CQ48" s="341"/>
      <c r="CR48" s="342">
        <f t="shared" si="1"/>
        <v>468255.93999999994</v>
      </c>
    </row>
    <row r="49" spans="1:96" x14ac:dyDescent="0.25">
      <c r="A49" s="45" t="s">
        <v>380</v>
      </c>
      <c r="B49" s="45">
        <v>-512130.64999999997</v>
      </c>
      <c r="C49" s="45">
        <v>-97252.83</v>
      </c>
      <c r="D49" s="45">
        <v>1367437</v>
      </c>
      <c r="E49" s="45">
        <v>320189.56000000006</v>
      </c>
      <c r="F49" s="45">
        <v>621.25</v>
      </c>
      <c r="G49" s="45">
        <v>843803.56999999983</v>
      </c>
      <c r="H49" s="45">
        <v>36762017</v>
      </c>
      <c r="I49" s="45">
        <v>220</v>
      </c>
      <c r="J49" s="45">
        <v>3782705.61</v>
      </c>
      <c r="K49" s="45">
        <v>11634845.650000002</v>
      </c>
      <c r="L49" s="45">
        <v>20887622.629999999</v>
      </c>
      <c r="M49" s="45">
        <v>9149669.1100000013</v>
      </c>
      <c r="N49" s="45">
        <v>312782.5</v>
      </c>
      <c r="O49" s="45">
        <v>3783341.4099999992</v>
      </c>
      <c r="P49" s="45">
        <v>50836.960000000006</v>
      </c>
      <c r="Q49" s="45">
        <v>411579.19999999995</v>
      </c>
      <c r="R49" s="45">
        <v>310460.48</v>
      </c>
      <c r="S49" s="45">
        <v>8650239.9000000004</v>
      </c>
      <c r="T49" s="45">
        <v>201366.69</v>
      </c>
      <c r="U49" s="45">
        <v>109660.47</v>
      </c>
      <c r="V49" s="45">
        <v>130074.94999999998</v>
      </c>
      <c r="W49" s="45">
        <v>8101495.2799999984</v>
      </c>
      <c r="X49" s="45">
        <v>1795037.08</v>
      </c>
      <c r="Z49" s="45">
        <v>124422.00000000006</v>
      </c>
      <c r="AA49" s="45">
        <v>135177.63</v>
      </c>
      <c r="AB49" s="45">
        <v>4664619.1000000015</v>
      </c>
      <c r="AC49" s="45">
        <v>10243892</v>
      </c>
      <c r="AD49" s="45">
        <v>2101432.27</v>
      </c>
      <c r="AG49" s="45">
        <v>2548866.41</v>
      </c>
      <c r="AH49" s="45">
        <v>47425.25</v>
      </c>
      <c r="AI49" s="45">
        <v>624167.23</v>
      </c>
      <c r="AJ49" s="45">
        <v>1425468.09</v>
      </c>
      <c r="AK49" s="45">
        <v>946905.92999999993</v>
      </c>
      <c r="AL49" s="45">
        <v>89390.25</v>
      </c>
      <c r="AM49" s="45">
        <v>95127.75</v>
      </c>
      <c r="AN49" s="45">
        <v>196929.96</v>
      </c>
      <c r="AO49" s="45">
        <v>65367.89</v>
      </c>
      <c r="AQ49" s="45">
        <v>154647.94</v>
      </c>
      <c r="AR49" s="45">
        <v>192447.64</v>
      </c>
      <c r="AS49" s="45">
        <v>60640</v>
      </c>
      <c r="AT49" s="45">
        <v>1841408.5</v>
      </c>
      <c r="AU49" s="45">
        <v>29187</v>
      </c>
      <c r="AV49" s="45">
        <v>33600.050000000003</v>
      </c>
      <c r="AW49" s="45">
        <v>953717.11</v>
      </c>
      <c r="AX49" s="45">
        <v>2646.81</v>
      </c>
      <c r="AY49" s="45">
        <v>7892706.3899999997</v>
      </c>
      <c r="AZ49" s="45">
        <v>1526299.75</v>
      </c>
      <c r="BA49" s="45">
        <v>290904</v>
      </c>
      <c r="BE49" s="2">
        <f t="shared" si="2"/>
        <v>144284019.76999998</v>
      </c>
      <c r="BG49" s="341">
        <v>25887.8</v>
      </c>
      <c r="BH49" s="341">
        <v>6413.27</v>
      </c>
      <c r="BI49" s="341">
        <v>3668925.4000000008</v>
      </c>
      <c r="BJ49" s="341"/>
      <c r="BK49" s="341"/>
      <c r="BL49" s="341">
        <v>5199.0600000000004</v>
      </c>
      <c r="BM49" s="341">
        <v>190436.12</v>
      </c>
      <c r="BN49" s="341">
        <v>74333.539999999994</v>
      </c>
      <c r="BO49" s="341">
        <v>11192214.450000003</v>
      </c>
      <c r="BP49" s="341">
        <v>6245.670000000001</v>
      </c>
      <c r="BQ49" s="341"/>
      <c r="BR49" s="341">
        <v>370000</v>
      </c>
      <c r="BS49" s="341">
        <v>859925</v>
      </c>
      <c r="BT49" s="341"/>
      <c r="BU49" s="341"/>
      <c r="BV49" s="341">
        <v>5000</v>
      </c>
      <c r="BW49" s="341"/>
      <c r="BX49" s="341"/>
      <c r="BY49" s="341">
        <v>249741.19</v>
      </c>
      <c r="BZ49" s="341"/>
      <c r="CA49" s="341"/>
      <c r="CB49" s="347"/>
      <c r="CC49" s="341"/>
      <c r="CD49" s="341"/>
      <c r="CE49" s="341">
        <v>2611189.1400000006</v>
      </c>
      <c r="CF49" s="341">
        <v>1076.5</v>
      </c>
      <c r="CG49" s="341">
        <v>1711144.7599999998</v>
      </c>
      <c r="CH49" s="341">
        <v>71291.41</v>
      </c>
      <c r="CI49" s="341">
        <v>710169.02000000014</v>
      </c>
      <c r="CJ49" s="341">
        <v>18147.2</v>
      </c>
      <c r="CK49" s="341"/>
      <c r="CL49" s="341"/>
      <c r="CM49" s="341"/>
      <c r="CN49" s="341"/>
      <c r="CO49" s="341"/>
      <c r="CP49" s="347">
        <v>147707</v>
      </c>
      <c r="CQ49" s="341"/>
      <c r="CR49" s="342">
        <f t="shared" si="1"/>
        <v>18028184.879999999</v>
      </c>
    </row>
    <row r="50" spans="1:96" x14ac:dyDescent="0.25">
      <c r="A50" s="45" t="s">
        <v>381</v>
      </c>
      <c r="B50" s="45">
        <v>-25474.899999999998</v>
      </c>
      <c r="C50" s="45">
        <v>-12998.78</v>
      </c>
      <c r="D50" s="45">
        <v>188612</v>
      </c>
      <c r="E50" s="45">
        <v>20117.559999999994</v>
      </c>
      <c r="G50" s="45">
        <v>58193.35</v>
      </c>
      <c r="H50" s="45">
        <v>1960475.0000000002</v>
      </c>
      <c r="I50" s="45">
        <v>165</v>
      </c>
      <c r="J50" s="45">
        <v>267972.07</v>
      </c>
      <c r="K50" s="45">
        <v>764675.74999999988</v>
      </c>
      <c r="L50" s="45">
        <v>1036253.2500000001</v>
      </c>
      <c r="M50" s="45">
        <v>382772</v>
      </c>
      <c r="N50" s="45">
        <v>24541.740000000005</v>
      </c>
      <c r="O50" s="45">
        <v>262129.43</v>
      </c>
      <c r="P50" s="45">
        <v>1430.5500000000002</v>
      </c>
      <c r="Q50" s="45">
        <v>20238.710000000003</v>
      </c>
      <c r="R50" s="45">
        <v>28555.260000000002</v>
      </c>
      <c r="S50" s="45">
        <v>251733.73000000004</v>
      </c>
      <c r="T50" s="45">
        <v>4411.91</v>
      </c>
      <c r="U50" s="45">
        <v>1789.64</v>
      </c>
      <c r="V50" s="45">
        <v>7369.58</v>
      </c>
      <c r="W50" s="45">
        <v>471675.05999999994</v>
      </c>
      <c r="X50" s="45">
        <v>46833.260000000009</v>
      </c>
      <c r="AA50" s="45">
        <v>17513.259999999998</v>
      </c>
      <c r="AB50" s="45">
        <v>368572.44000000006</v>
      </c>
      <c r="AC50" s="45">
        <v>607121.99999999988</v>
      </c>
      <c r="AD50" s="45">
        <v>124545.01999999999</v>
      </c>
      <c r="AG50" s="45">
        <v>195860.16</v>
      </c>
      <c r="AH50" s="45">
        <v>9139.24</v>
      </c>
      <c r="AI50" s="45">
        <v>71920.97</v>
      </c>
      <c r="AJ50" s="45">
        <v>82136.960000000006</v>
      </c>
      <c r="AK50" s="45">
        <v>52611.46</v>
      </c>
      <c r="AL50" s="45">
        <v>4565</v>
      </c>
      <c r="AM50" s="45">
        <v>7713.75</v>
      </c>
      <c r="AN50" s="45">
        <v>2473.9100000000003</v>
      </c>
      <c r="AO50" s="45">
        <v>3462.48</v>
      </c>
      <c r="AQ50" s="45">
        <v>20596.21</v>
      </c>
      <c r="AR50" s="45">
        <v>14946.55</v>
      </c>
      <c r="AT50" s="45">
        <v>24199.599999999999</v>
      </c>
      <c r="AV50" s="45">
        <v>10835.4</v>
      </c>
      <c r="AW50" s="45">
        <v>151974.54000000004</v>
      </c>
      <c r="AX50" s="45">
        <v>588.17999999999995</v>
      </c>
      <c r="AY50" s="45">
        <v>570421</v>
      </c>
      <c r="AZ50" s="45">
        <v>105153.00000000001</v>
      </c>
      <c r="BA50" s="45">
        <v>102949</v>
      </c>
      <c r="BE50" s="2">
        <f t="shared" si="2"/>
        <v>8310771.2999999998</v>
      </c>
      <c r="BG50" s="341"/>
      <c r="BH50" s="341">
        <v>641.33000000000004</v>
      </c>
      <c r="BI50" s="341">
        <v>370324.35000000009</v>
      </c>
      <c r="BJ50" s="341"/>
      <c r="BK50" s="341"/>
      <c r="BL50" s="341"/>
      <c r="BM50" s="341">
        <v>23577.81</v>
      </c>
      <c r="BN50" s="341">
        <v>1621.83</v>
      </c>
      <c r="BO50" s="341">
        <v>680231.74000000022</v>
      </c>
      <c r="BP50" s="341">
        <v>480.57</v>
      </c>
      <c r="BQ50" s="341"/>
      <c r="BR50" s="341">
        <v>255000</v>
      </c>
      <c r="BS50" s="341">
        <v>52800</v>
      </c>
      <c r="BT50" s="341"/>
      <c r="BU50" s="341"/>
      <c r="BV50" s="341">
        <v>2500</v>
      </c>
      <c r="BW50" s="341"/>
      <c r="BX50" s="341"/>
      <c r="BY50" s="341">
        <v>65368.5</v>
      </c>
      <c r="BZ50" s="341"/>
      <c r="CA50" s="341"/>
      <c r="CB50" s="347"/>
      <c r="CC50" s="341"/>
      <c r="CD50" s="341"/>
      <c r="CE50" s="341">
        <v>6413.0000000000009</v>
      </c>
      <c r="CF50" s="341">
        <v>1076.5</v>
      </c>
      <c r="CG50" s="341"/>
      <c r="CH50" s="341">
        <v>677936.52</v>
      </c>
      <c r="CI50" s="341"/>
      <c r="CJ50" s="341"/>
      <c r="CK50" s="341"/>
      <c r="CL50" s="341"/>
      <c r="CM50" s="341">
        <v>58058.420000000006</v>
      </c>
      <c r="CN50" s="341">
        <v>0</v>
      </c>
      <c r="CO50" s="341"/>
      <c r="CP50" s="347">
        <v>8064</v>
      </c>
      <c r="CQ50" s="341"/>
      <c r="CR50" s="342">
        <f t="shared" si="1"/>
        <v>1809551.08</v>
      </c>
    </row>
    <row r="51" spans="1:96" x14ac:dyDescent="0.25">
      <c r="A51" s="45" t="s">
        <v>382</v>
      </c>
      <c r="B51" s="45">
        <v>-91967.940000000017</v>
      </c>
      <c r="C51" s="45">
        <v>-17149.16</v>
      </c>
      <c r="D51" s="45">
        <v>565836</v>
      </c>
      <c r="E51" s="45">
        <v>78011.650000000009</v>
      </c>
      <c r="G51" s="45">
        <v>261870.08000000002</v>
      </c>
      <c r="H51" s="45">
        <v>12999761</v>
      </c>
      <c r="I51" s="45">
        <v>605</v>
      </c>
      <c r="J51" s="45">
        <v>1262420.7600000002</v>
      </c>
      <c r="K51" s="45">
        <v>4016089.3300000005</v>
      </c>
      <c r="L51" s="45">
        <v>7462520.1399999987</v>
      </c>
      <c r="M51" s="45">
        <v>1384737.19</v>
      </c>
      <c r="N51" s="45">
        <v>126307.59999999998</v>
      </c>
      <c r="O51" s="45">
        <v>1884824.7599999998</v>
      </c>
      <c r="P51" s="45">
        <v>15799.38</v>
      </c>
      <c r="Q51" s="45">
        <v>96681.61</v>
      </c>
      <c r="R51" s="45">
        <v>121859.72999999998</v>
      </c>
      <c r="S51" s="45">
        <v>2259359.2600000002</v>
      </c>
      <c r="T51" s="45">
        <v>70073.810000000012</v>
      </c>
      <c r="U51" s="45">
        <v>15309.409999999998</v>
      </c>
      <c r="V51" s="45">
        <v>39415.279999999999</v>
      </c>
      <c r="W51" s="45">
        <v>5092076.8099999987</v>
      </c>
      <c r="X51" s="45">
        <v>743687.89</v>
      </c>
      <c r="Z51" s="45">
        <v>100010.61000000002</v>
      </c>
      <c r="AA51" s="45">
        <v>40562.28</v>
      </c>
      <c r="AB51" s="45">
        <v>1119657.28</v>
      </c>
      <c r="AC51" s="45">
        <v>2445849</v>
      </c>
      <c r="AD51" s="45">
        <v>501741.53000000009</v>
      </c>
      <c r="AG51" s="45">
        <v>1125033.2</v>
      </c>
      <c r="AH51" s="45">
        <v>9633.25</v>
      </c>
      <c r="AI51" s="45">
        <v>151256.25999999998</v>
      </c>
      <c r="AJ51" s="45">
        <v>346322.13999999996</v>
      </c>
      <c r="AK51" s="45">
        <v>338962.4</v>
      </c>
      <c r="AL51" s="45">
        <v>21166.75</v>
      </c>
      <c r="AM51" s="45">
        <v>36235</v>
      </c>
      <c r="AN51" s="45">
        <v>57385.47</v>
      </c>
      <c r="AO51" s="45">
        <v>15761.75</v>
      </c>
      <c r="AQ51" s="45">
        <v>8176.9699999999993</v>
      </c>
      <c r="AR51" s="45">
        <v>53687.81</v>
      </c>
      <c r="AS51" s="45">
        <v>10440</v>
      </c>
      <c r="AT51" s="45">
        <v>513848.15999999992</v>
      </c>
      <c r="AV51" s="45">
        <v>47175.3</v>
      </c>
      <c r="AW51" s="45">
        <v>148268.95999999996</v>
      </c>
      <c r="AX51" s="45">
        <v>588.17999999999995</v>
      </c>
      <c r="AY51" s="45">
        <v>2543268.4100000006</v>
      </c>
      <c r="AZ51" s="45">
        <v>610519.9</v>
      </c>
      <c r="BA51" s="45">
        <v>250000</v>
      </c>
      <c r="BE51" s="2">
        <f t="shared" si="2"/>
        <v>48883680.200000003</v>
      </c>
      <c r="BG51" s="341">
        <v>1478.04</v>
      </c>
      <c r="BH51" s="341">
        <v>1282.6500000000001</v>
      </c>
      <c r="BI51" s="341">
        <v>978527.91999999993</v>
      </c>
      <c r="BJ51" s="341"/>
      <c r="BK51" s="341"/>
      <c r="BL51" s="341">
        <v>2095.29</v>
      </c>
      <c r="BM51" s="341">
        <v>55014.879999999997</v>
      </c>
      <c r="BN51" s="341">
        <v>22908.620000000003</v>
      </c>
      <c r="BO51" s="341">
        <v>2443170.6500000004</v>
      </c>
      <c r="BP51" s="341">
        <v>1824.5900000000001</v>
      </c>
      <c r="BQ51" s="341"/>
      <c r="BR51" s="341">
        <v>140000</v>
      </c>
      <c r="BS51" s="341">
        <v>202125</v>
      </c>
      <c r="BT51" s="341"/>
      <c r="BU51" s="341"/>
      <c r="BV51" s="341"/>
      <c r="BW51" s="341"/>
      <c r="BX51" s="341"/>
      <c r="BY51" s="341">
        <v>95538.58</v>
      </c>
      <c r="BZ51" s="341"/>
      <c r="CA51" s="341"/>
      <c r="CB51" s="347"/>
      <c r="CC51" s="341"/>
      <c r="CD51" s="341"/>
      <c r="CE51" s="341">
        <v>904233.00000000012</v>
      </c>
      <c r="CF51" s="341">
        <v>1076.5</v>
      </c>
      <c r="CG51" s="341">
        <v>376962.14999999997</v>
      </c>
      <c r="CH51" s="341">
        <v>58529.78</v>
      </c>
      <c r="CI51" s="341">
        <v>227781.26000000007</v>
      </c>
      <c r="CJ51" s="341">
        <v>2923.82</v>
      </c>
      <c r="CK51" s="341">
        <v>12235.92</v>
      </c>
      <c r="CL51" s="341"/>
      <c r="CM51" s="341"/>
      <c r="CN51" s="341"/>
      <c r="CO51" s="341"/>
      <c r="CP51" s="347">
        <v>51730</v>
      </c>
      <c r="CQ51" s="341"/>
      <c r="CR51" s="342">
        <f t="shared" si="1"/>
        <v>4541039.87</v>
      </c>
    </row>
    <row r="52" spans="1:96" x14ac:dyDescent="0.25">
      <c r="A52" s="45" t="s">
        <v>383</v>
      </c>
      <c r="B52" s="45">
        <v>-127943.47</v>
      </c>
      <c r="C52" s="45">
        <v>-23444.29</v>
      </c>
      <c r="D52" s="45">
        <v>518683.00000000006</v>
      </c>
      <c r="E52" s="45">
        <v>101355.47</v>
      </c>
      <c r="G52" s="45">
        <v>349160.11</v>
      </c>
      <c r="H52" s="45">
        <v>15785200</v>
      </c>
      <c r="I52" s="45">
        <v>110</v>
      </c>
      <c r="J52" s="45">
        <v>1942722.1199999996</v>
      </c>
      <c r="K52" s="45">
        <v>5491780.1400000006</v>
      </c>
      <c r="L52" s="45">
        <v>8885378.1500000004</v>
      </c>
      <c r="M52" s="45">
        <v>2442724.9900000002</v>
      </c>
      <c r="N52" s="45">
        <v>144017.13</v>
      </c>
      <c r="O52" s="45">
        <v>1257347.1799999997</v>
      </c>
      <c r="P52" s="45">
        <v>19580.950000000004</v>
      </c>
      <c r="Q52" s="45">
        <v>134746.56999999998</v>
      </c>
      <c r="R52" s="45">
        <v>184352.9</v>
      </c>
      <c r="S52" s="45">
        <v>4274317.9400000004</v>
      </c>
      <c r="T52" s="45">
        <v>120380.12999999999</v>
      </c>
      <c r="U52" s="45">
        <v>62953.600000000006</v>
      </c>
      <c r="V52" s="45">
        <v>36058.790000000008</v>
      </c>
      <c r="W52" s="45">
        <v>4519527.3</v>
      </c>
      <c r="X52" s="45">
        <v>641060.47000000009</v>
      </c>
      <c r="Z52" s="45">
        <v>68740.56</v>
      </c>
      <c r="AA52" s="45">
        <v>48675.92</v>
      </c>
      <c r="AB52" s="45">
        <v>1290740.81</v>
      </c>
      <c r="AC52" s="45">
        <v>3032811</v>
      </c>
      <c r="AD52" s="45">
        <v>622150.92999999982</v>
      </c>
      <c r="AG52" s="45">
        <v>1283924.0999999999</v>
      </c>
      <c r="AH52" s="45">
        <v>12350.33</v>
      </c>
      <c r="AI52" s="45">
        <v>187393.94999999998</v>
      </c>
      <c r="AJ52" s="45">
        <v>421765.83999999997</v>
      </c>
      <c r="AK52" s="45">
        <v>365970.95999999996</v>
      </c>
      <c r="AL52" s="45">
        <v>24138.5</v>
      </c>
      <c r="AM52" s="45">
        <v>42825</v>
      </c>
      <c r="AN52" s="45">
        <v>36866.660000000003</v>
      </c>
      <c r="AO52" s="45">
        <v>18675.77</v>
      </c>
      <c r="AQ52" s="45">
        <v>22406.34</v>
      </c>
      <c r="AR52" s="45">
        <v>73046.850000000006</v>
      </c>
      <c r="AS52" s="45">
        <v>12688</v>
      </c>
      <c r="AT52" s="45">
        <v>495749.7699999999</v>
      </c>
      <c r="AV52" s="45">
        <v>29214.2</v>
      </c>
      <c r="AW52" s="45">
        <v>264377.67</v>
      </c>
      <c r="AX52" s="45">
        <v>2352.7199999999998</v>
      </c>
      <c r="AY52" s="45">
        <v>2856137.2600000002</v>
      </c>
      <c r="AZ52" s="45">
        <v>724711.71</v>
      </c>
      <c r="BA52" s="45">
        <v>79000</v>
      </c>
      <c r="BB52" s="45">
        <v>63645.660000000011</v>
      </c>
      <c r="BE52" s="2">
        <f t="shared" si="2"/>
        <v>58840429.690000027</v>
      </c>
      <c r="BG52" s="341">
        <v>156.96</v>
      </c>
      <c r="BH52" s="341">
        <v>1282.6500000000001</v>
      </c>
      <c r="BI52" s="341">
        <v>928355.89000000036</v>
      </c>
      <c r="BJ52" s="341"/>
      <c r="BK52" s="341"/>
      <c r="BL52" s="341">
        <v>2473.8200000000002</v>
      </c>
      <c r="BM52" s="341">
        <v>43528.26</v>
      </c>
      <c r="BN52" s="341">
        <v>37366.039999999994</v>
      </c>
      <c r="BO52" s="341">
        <v>3035602.2799999993</v>
      </c>
      <c r="BP52" s="341">
        <v>1765.2800000000002</v>
      </c>
      <c r="BQ52" s="341"/>
      <c r="BR52" s="341"/>
      <c r="BS52" s="341">
        <v>256850</v>
      </c>
      <c r="BT52" s="341"/>
      <c r="BU52" s="341"/>
      <c r="BV52" s="341"/>
      <c r="BW52" s="341"/>
      <c r="BX52" s="341"/>
      <c r="BY52" s="341">
        <v>127384.77</v>
      </c>
      <c r="BZ52" s="341"/>
      <c r="CA52" s="341"/>
      <c r="CB52" s="347"/>
      <c r="CC52" s="341"/>
      <c r="CD52" s="341"/>
      <c r="CE52" s="341">
        <v>783668.6</v>
      </c>
      <c r="CF52" s="341">
        <v>1076.5</v>
      </c>
      <c r="CG52" s="341">
        <v>476552.58000000007</v>
      </c>
      <c r="CH52" s="341"/>
      <c r="CI52" s="341">
        <v>217034.91</v>
      </c>
      <c r="CJ52" s="341">
        <v>5145.93</v>
      </c>
      <c r="CK52" s="341"/>
      <c r="CL52" s="341"/>
      <c r="CM52" s="341"/>
      <c r="CN52" s="341"/>
      <c r="CO52" s="341"/>
      <c r="CP52" s="347">
        <v>62646</v>
      </c>
      <c r="CQ52" s="341"/>
      <c r="CR52" s="342">
        <f t="shared" si="1"/>
        <v>5005092.8899999987</v>
      </c>
    </row>
    <row r="53" spans="1:96" x14ac:dyDescent="0.25">
      <c r="A53" s="45" t="s">
        <v>51</v>
      </c>
      <c r="B53" s="45">
        <v>-158001.35</v>
      </c>
      <c r="C53" s="45">
        <v>-36408.26</v>
      </c>
      <c r="D53" s="45">
        <v>330071</v>
      </c>
      <c r="E53" s="45">
        <v>42827.759999999995</v>
      </c>
      <c r="G53" s="45">
        <v>174580.06</v>
      </c>
      <c r="H53" s="45">
        <v>7080219</v>
      </c>
      <c r="J53" s="45">
        <v>682107.32000000007</v>
      </c>
      <c r="K53" s="45">
        <v>2120619.88</v>
      </c>
      <c r="L53" s="45">
        <v>3877890.66</v>
      </c>
      <c r="M53" s="45">
        <v>430559.49</v>
      </c>
      <c r="N53" s="45">
        <v>36187.090000000004</v>
      </c>
      <c r="O53" s="45">
        <v>1395156.9200000002</v>
      </c>
      <c r="P53" s="45">
        <v>6378.81</v>
      </c>
      <c r="Q53" s="45">
        <v>19338.930000000004</v>
      </c>
      <c r="R53" s="45">
        <v>59150.80000000001</v>
      </c>
      <c r="S53" s="45">
        <v>1453173.71</v>
      </c>
      <c r="T53" s="45">
        <v>5204.2999999999993</v>
      </c>
      <c r="U53" s="45">
        <v>5204.3</v>
      </c>
      <c r="V53" s="45">
        <v>34567.07</v>
      </c>
      <c r="W53" s="45">
        <v>2685235.61</v>
      </c>
      <c r="X53" s="45">
        <v>155035.44</v>
      </c>
      <c r="Z53" s="45">
        <v>3995.79</v>
      </c>
      <c r="AA53" s="45">
        <v>26290.81</v>
      </c>
      <c r="AB53" s="45">
        <v>696434.01000000013</v>
      </c>
      <c r="AC53" s="45">
        <v>1272728</v>
      </c>
      <c r="AD53" s="45">
        <v>261087.45</v>
      </c>
      <c r="AG53" s="45">
        <v>665583.16000000015</v>
      </c>
      <c r="AH53" s="45">
        <v>7904.21</v>
      </c>
      <c r="AI53" s="45">
        <v>79082.490000000005</v>
      </c>
      <c r="AJ53" s="45">
        <v>188421.65000000002</v>
      </c>
      <c r="AK53" s="45">
        <v>177613.89</v>
      </c>
      <c r="AL53" s="45">
        <v>10918.5</v>
      </c>
      <c r="AM53" s="45">
        <v>17720</v>
      </c>
      <c r="AN53" s="45">
        <v>35134.080000000002</v>
      </c>
      <c r="AO53" s="45">
        <v>7871.48</v>
      </c>
      <c r="AQ53" s="45">
        <v>4455.8999999999996</v>
      </c>
      <c r="AR53" s="45">
        <v>29522.34</v>
      </c>
      <c r="AS53" s="45">
        <v>11770</v>
      </c>
      <c r="AT53" s="45">
        <v>150458.88999999998</v>
      </c>
      <c r="AV53" s="45">
        <v>20651.349999999999</v>
      </c>
      <c r="AW53" s="45">
        <v>174495.87</v>
      </c>
      <c r="AY53" s="45">
        <v>1626738.0599999998</v>
      </c>
      <c r="AZ53" s="45">
        <v>366311.93999999994</v>
      </c>
      <c r="BA53" s="45">
        <v>228000</v>
      </c>
      <c r="BB53" s="45">
        <v>450000.00000000012</v>
      </c>
      <c r="BE53" s="2">
        <f t="shared" si="2"/>
        <v>26912288.41</v>
      </c>
      <c r="BG53" s="341">
        <v>11263.16</v>
      </c>
      <c r="BH53" s="341">
        <v>641.33000000000004</v>
      </c>
      <c r="BI53" s="341">
        <v>487906.5199999999</v>
      </c>
      <c r="BJ53" s="341"/>
      <c r="BK53" s="341"/>
      <c r="BL53" s="341"/>
      <c r="BM53" s="341">
        <v>30832.52</v>
      </c>
      <c r="BN53" s="341">
        <v>8643.49</v>
      </c>
      <c r="BO53" s="341">
        <v>1459988.9999999998</v>
      </c>
      <c r="BP53" s="341">
        <v>1144.78</v>
      </c>
      <c r="BQ53" s="341"/>
      <c r="BR53" s="341">
        <v>205000</v>
      </c>
      <c r="BS53" s="341">
        <v>110550</v>
      </c>
      <c r="BT53" s="341"/>
      <c r="BU53" s="341"/>
      <c r="BV53" s="341"/>
      <c r="BW53" s="341"/>
      <c r="BX53" s="341"/>
      <c r="BY53" s="341">
        <v>77101.31</v>
      </c>
      <c r="BZ53" s="341"/>
      <c r="CA53" s="341">
        <v>10000</v>
      </c>
      <c r="CB53" s="347"/>
      <c r="CC53" s="341"/>
      <c r="CD53" s="341"/>
      <c r="CE53" s="341">
        <v>169944.5</v>
      </c>
      <c r="CF53" s="341">
        <v>1076.5</v>
      </c>
      <c r="CG53" s="341"/>
      <c r="CH53" s="341">
        <v>869561.40999999992</v>
      </c>
      <c r="CI53" s="341">
        <v>237817.63999999998</v>
      </c>
      <c r="CJ53" s="341">
        <v>1286.48</v>
      </c>
      <c r="CK53" s="341"/>
      <c r="CL53" s="341"/>
      <c r="CM53" s="341">
        <v>9021.6</v>
      </c>
      <c r="CN53" s="341"/>
      <c r="CO53" s="341"/>
      <c r="CP53" s="347">
        <v>27880</v>
      </c>
      <c r="CQ53" s="341"/>
      <c r="CR53" s="342">
        <f t="shared" si="1"/>
        <v>3189016.71</v>
      </c>
    </row>
    <row r="54" spans="1:96" x14ac:dyDescent="0.25">
      <c r="A54" s="45" t="s">
        <v>52</v>
      </c>
      <c r="B54" s="45">
        <v>-116706.75</v>
      </c>
      <c r="C54" s="45">
        <v>-24800.32</v>
      </c>
      <c r="D54" s="45">
        <v>188612</v>
      </c>
      <c r="E54" s="45">
        <v>22167.210000000003</v>
      </c>
      <c r="G54" s="45">
        <v>87290.03</v>
      </c>
      <c r="H54" s="45">
        <v>4062342</v>
      </c>
      <c r="I54" s="45">
        <v>55</v>
      </c>
      <c r="J54" s="45">
        <v>360470.62</v>
      </c>
      <c r="K54" s="45">
        <v>1167811.0900000001</v>
      </c>
      <c r="L54" s="45">
        <v>1929920.6400000004</v>
      </c>
      <c r="M54" s="45">
        <v>790880.53000000014</v>
      </c>
      <c r="N54" s="45">
        <v>35680.370000000003</v>
      </c>
      <c r="O54" s="45">
        <v>919078.53</v>
      </c>
      <c r="P54" s="45">
        <v>2004.7199999999998</v>
      </c>
      <c r="Q54" s="45">
        <v>20126.859999999997</v>
      </c>
      <c r="R54" s="45">
        <v>55560.01999999999</v>
      </c>
      <c r="S54" s="45">
        <v>886776.68000000017</v>
      </c>
      <c r="T54" s="45">
        <v>31766.240000000002</v>
      </c>
      <c r="U54" s="45">
        <v>30344.79</v>
      </c>
      <c r="V54" s="45">
        <v>11130.350000000002</v>
      </c>
      <c r="W54" s="45">
        <v>900084.70999999973</v>
      </c>
      <c r="X54" s="45">
        <v>273020.74999999994</v>
      </c>
      <c r="AA54" s="45">
        <v>18632.580000000002</v>
      </c>
      <c r="AB54" s="45">
        <v>391681.79</v>
      </c>
      <c r="AC54" s="45">
        <v>678925.99999999988</v>
      </c>
      <c r="AD54" s="45">
        <v>139274.9</v>
      </c>
      <c r="AG54" s="45">
        <v>368731.49</v>
      </c>
      <c r="AH54" s="45">
        <v>2223.06</v>
      </c>
      <c r="AI54" s="45">
        <v>59960.3</v>
      </c>
      <c r="AJ54" s="45">
        <v>101848.54999999999</v>
      </c>
      <c r="AK54" s="45">
        <v>87652.3</v>
      </c>
      <c r="AL54" s="45">
        <v>5125.25</v>
      </c>
      <c r="AM54" s="45">
        <v>9317</v>
      </c>
      <c r="AN54" s="45">
        <v>31601.439999999995</v>
      </c>
      <c r="AO54" s="45">
        <v>4280.07</v>
      </c>
      <c r="AQ54" s="45">
        <v>6798.75</v>
      </c>
      <c r="AS54" s="45">
        <v>1992</v>
      </c>
      <c r="AT54" s="45">
        <v>128980.83000000002</v>
      </c>
      <c r="AV54" s="45">
        <v>12506.2</v>
      </c>
      <c r="AW54" s="45">
        <v>29129.359999999993</v>
      </c>
      <c r="AX54" s="45">
        <v>588.17999999999995</v>
      </c>
      <c r="AY54" s="45">
        <v>984732.89000000013</v>
      </c>
      <c r="AZ54" s="45">
        <v>183155.97</v>
      </c>
      <c r="BA54" s="45">
        <v>250000</v>
      </c>
      <c r="BB54" s="45">
        <v>83285.280000000013</v>
      </c>
      <c r="BE54" s="2">
        <f t="shared" si="2"/>
        <v>15214040.259999998</v>
      </c>
      <c r="BG54" s="341"/>
      <c r="BH54" s="341">
        <v>641.33000000000004</v>
      </c>
      <c r="BI54" s="341">
        <v>263260.97000000003</v>
      </c>
      <c r="BJ54" s="341"/>
      <c r="BK54" s="341"/>
      <c r="BL54" s="341"/>
      <c r="BM54" s="341">
        <v>16927.66</v>
      </c>
      <c r="BN54" s="341">
        <v>10001.39</v>
      </c>
      <c r="BO54" s="341">
        <v>739209.61</v>
      </c>
      <c r="BP54" s="341">
        <v>715.8</v>
      </c>
      <c r="BQ54" s="341"/>
      <c r="BR54" s="341">
        <v>250000</v>
      </c>
      <c r="BS54" s="341">
        <v>57475</v>
      </c>
      <c r="BT54" s="341"/>
      <c r="BU54" s="341"/>
      <c r="BV54" s="341"/>
      <c r="BW54" s="341"/>
      <c r="BX54" s="341"/>
      <c r="BY54" s="341">
        <v>21789.5</v>
      </c>
      <c r="BZ54" s="341"/>
      <c r="CA54" s="341"/>
      <c r="CB54" s="347"/>
      <c r="CC54" s="341"/>
      <c r="CD54" s="341"/>
      <c r="CE54" s="341">
        <v>179564</v>
      </c>
      <c r="CF54" s="341">
        <v>1076.5</v>
      </c>
      <c r="CG54" s="341"/>
      <c r="CH54" s="341">
        <v>286134.44000000006</v>
      </c>
      <c r="CI54" s="341"/>
      <c r="CJ54" s="341"/>
      <c r="CK54" s="341"/>
      <c r="CL54" s="341"/>
      <c r="CM54" s="341">
        <v>7217.28</v>
      </c>
      <c r="CN54" s="341"/>
      <c r="CO54" s="341">
        <v>160000</v>
      </c>
      <c r="CP54" s="347">
        <v>15990</v>
      </c>
      <c r="CQ54" s="341"/>
      <c r="CR54" s="342">
        <f t="shared" si="1"/>
        <v>1729173.5200000003</v>
      </c>
    </row>
    <row r="55" spans="1:96" x14ac:dyDescent="0.25">
      <c r="A55" s="45" t="s">
        <v>384</v>
      </c>
      <c r="B55" s="45">
        <v>-6184.48</v>
      </c>
      <c r="D55" s="45">
        <v>141459</v>
      </c>
      <c r="E55" s="45">
        <v>12898.930000000004</v>
      </c>
      <c r="G55" s="45">
        <v>87290.03</v>
      </c>
      <c r="H55" s="45">
        <v>2123888</v>
      </c>
      <c r="J55" s="45">
        <v>195132.80999999997</v>
      </c>
      <c r="K55" s="45">
        <v>690815.66</v>
      </c>
      <c r="L55" s="45">
        <v>978220.05999999994</v>
      </c>
      <c r="M55" s="45">
        <v>252330.36000000004</v>
      </c>
      <c r="N55" s="45">
        <v>38636.909999999996</v>
      </c>
      <c r="O55" s="45">
        <v>182883.96</v>
      </c>
      <c r="P55" s="45">
        <v>3857.8999999999996</v>
      </c>
      <c r="Q55" s="45">
        <v>25925.119999999999</v>
      </c>
      <c r="R55" s="45">
        <v>54512.189999999995</v>
      </c>
      <c r="S55" s="45">
        <v>380447.25</v>
      </c>
      <c r="T55" s="45">
        <v>9123.94</v>
      </c>
      <c r="U55" s="45">
        <v>4957.41</v>
      </c>
      <c r="V55" s="45">
        <v>3998.2999999999997</v>
      </c>
      <c r="W55" s="45">
        <v>1027861.49</v>
      </c>
      <c r="X55" s="45">
        <v>88133.83</v>
      </c>
      <c r="AA55" s="45">
        <v>15122.12</v>
      </c>
      <c r="AB55" s="45">
        <v>282702.30999999994</v>
      </c>
      <c r="AC55" s="45">
        <v>321640.00000000006</v>
      </c>
      <c r="AD55" s="45">
        <v>65981.239999999991</v>
      </c>
      <c r="AG55" s="45">
        <v>231860.05999999997</v>
      </c>
      <c r="AH55" s="45">
        <v>1482.04</v>
      </c>
      <c r="AI55" s="45">
        <v>53479.560000000005</v>
      </c>
      <c r="AJ55" s="45">
        <v>62658.62999999999</v>
      </c>
      <c r="AK55" s="45">
        <v>65061.500000000007</v>
      </c>
      <c r="AL55" s="45">
        <v>3912</v>
      </c>
      <c r="AM55" s="45">
        <v>5214.75</v>
      </c>
      <c r="AN55" s="45">
        <v>9143.2300000000014</v>
      </c>
      <c r="AO55" s="45">
        <v>2949.13</v>
      </c>
      <c r="AQ55" s="45">
        <v>26337.1</v>
      </c>
      <c r="AR55" s="45">
        <v>9524.07</v>
      </c>
      <c r="AS55" s="45">
        <v>1856</v>
      </c>
      <c r="AT55" s="45">
        <v>16396.09</v>
      </c>
      <c r="AV55" s="45">
        <v>10835.4</v>
      </c>
      <c r="AW55" s="45">
        <v>9683.3399999999983</v>
      </c>
      <c r="AX55" s="45">
        <v>294.08999999999997</v>
      </c>
      <c r="AY55" s="45">
        <v>616319.52999999991</v>
      </c>
      <c r="AZ55" s="45">
        <v>122103.98</v>
      </c>
      <c r="BA55" s="45">
        <v>233760</v>
      </c>
      <c r="BE55" s="2">
        <f t="shared" si="2"/>
        <v>8464504.8400000017</v>
      </c>
      <c r="BG55" s="341"/>
      <c r="BH55" s="341">
        <v>641.33000000000004</v>
      </c>
      <c r="BI55" s="341">
        <v>432037.6700000001</v>
      </c>
      <c r="BJ55" s="341"/>
      <c r="BK55" s="341"/>
      <c r="BL55" s="341">
        <v>378.92</v>
      </c>
      <c r="BM55" s="341">
        <v>24182.36</v>
      </c>
      <c r="BN55" s="341"/>
      <c r="BO55" s="341">
        <v>549646.44999999995</v>
      </c>
      <c r="BP55" s="341">
        <v>961.91000000000008</v>
      </c>
      <c r="BQ55" s="341"/>
      <c r="BR55" s="341">
        <v>480000</v>
      </c>
      <c r="BS55" s="341">
        <v>28600</v>
      </c>
      <c r="BT55" s="341"/>
      <c r="BU55" s="341"/>
      <c r="BV55" s="341"/>
      <c r="BW55" s="341"/>
      <c r="BX55" s="341"/>
      <c r="BY55" s="341">
        <v>35198.42</v>
      </c>
      <c r="BZ55" s="341"/>
      <c r="CA55" s="341"/>
      <c r="CB55" s="347"/>
      <c r="CC55" s="341"/>
      <c r="CD55" s="341"/>
      <c r="CE55" s="341">
        <v>28858.499999999993</v>
      </c>
      <c r="CF55" s="341">
        <v>1076.5</v>
      </c>
      <c r="CG55" s="341"/>
      <c r="CH55" s="341">
        <v>325120.89</v>
      </c>
      <c r="CI55" s="341"/>
      <c r="CJ55" s="341"/>
      <c r="CK55" s="341"/>
      <c r="CL55" s="341"/>
      <c r="CM55" s="341">
        <v>18043.2</v>
      </c>
      <c r="CN55" s="341"/>
      <c r="CO55" s="341"/>
      <c r="CP55" s="347">
        <v>8605</v>
      </c>
      <c r="CQ55" s="341"/>
      <c r="CR55" s="342">
        <f t="shared" si="1"/>
        <v>1476110.8699999999</v>
      </c>
    </row>
    <row r="56" spans="1:96" x14ac:dyDescent="0.25">
      <c r="A56" s="45" t="s">
        <v>385</v>
      </c>
      <c r="B56" s="45">
        <v>-233798.03</v>
      </c>
      <c r="C56" s="45">
        <v>-56217.41</v>
      </c>
      <c r="D56" s="45">
        <v>1131672</v>
      </c>
      <c r="E56" s="45">
        <v>185258.31</v>
      </c>
      <c r="F56" s="45">
        <v>621.25</v>
      </c>
      <c r="G56" s="45">
        <v>494643.49000000005</v>
      </c>
      <c r="H56" s="45">
        <v>32310839.000000007</v>
      </c>
      <c r="I56" s="45">
        <v>455.61999999999995</v>
      </c>
      <c r="J56" s="45">
        <v>3524870.46</v>
      </c>
      <c r="K56" s="45">
        <v>10322243.909999998</v>
      </c>
      <c r="L56" s="45">
        <v>18697806.109999999</v>
      </c>
      <c r="M56" s="45">
        <v>3655541.96</v>
      </c>
      <c r="N56" s="45">
        <v>231754.66999999998</v>
      </c>
      <c r="O56" s="45">
        <v>4190504.8499999996</v>
      </c>
      <c r="P56" s="45">
        <v>48014.27</v>
      </c>
      <c r="Q56" s="45">
        <v>214113.09000000003</v>
      </c>
      <c r="R56" s="45">
        <v>124935.40999999999</v>
      </c>
      <c r="S56" s="45">
        <v>5770303.29</v>
      </c>
      <c r="T56" s="45">
        <v>226534.41</v>
      </c>
      <c r="U56" s="45">
        <v>165810.22999999998</v>
      </c>
      <c r="V56" s="45">
        <v>82925.75</v>
      </c>
      <c r="W56" s="45">
        <v>13584285.75</v>
      </c>
      <c r="X56" s="45">
        <v>2210521.0700000003</v>
      </c>
      <c r="Z56" s="45">
        <v>12500</v>
      </c>
      <c r="AA56" s="45">
        <v>83780.73</v>
      </c>
      <c r="AB56" s="45">
        <v>2126977.1</v>
      </c>
      <c r="AC56" s="45">
        <v>6852789.9999999991</v>
      </c>
      <c r="AD56" s="45">
        <v>1405781.52</v>
      </c>
      <c r="AG56" s="45">
        <v>2373772.7600000002</v>
      </c>
      <c r="AH56" s="45">
        <v>25935.68</v>
      </c>
      <c r="AI56" s="45">
        <v>367257.85</v>
      </c>
      <c r="AJ56" s="45">
        <v>823640.15</v>
      </c>
      <c r="AK56" s="45">
        <v>662663.46</v>
      </c>
      <c r="AL56" s="45">
        <v>52214.25</v>
      </c>
      <c r="AM56" s="45">
        <v>66461.5</v>
      </c>
      <c r="AN56" s="45">
        <v>108366.77</v>
      </c>
      <c r="AO56" s="45">
        <v>39031.85</v>
      </c>
      <c r="AQ56" s="45">
        <v>175391.15</v>
      </c>
      <c r="AR56" s="45">
        <v>142371.51</v>
      </c>
      <c r="AS56" s="45">
        <v>65258</v>
      </c>
      <c r="AT56" s="45">
        <v>1733765.0799999998</v>
      </c>
      <c r="AU56" s="45">
        <v>40440</v>
      </c>
      <c r="AV56" s="45">
        <v>192743.75</v>
      </c>
      <c r="AW56" s="45">
        <v>514453.26999999996</v>
      </c>
      <c r="AX56" s="45">
        <v>2940.9</v>
      </c>
      <c r="AY56" s="45">
        <v>4770613.6900000004</v>
      </c>
      <c r="AZ56" s="45">
        <v>1037883.8300000001</v>
      </c>
      <c r="BA56" s="45">
        <v>175000</v>
      </c>
      <c r="BE56" s="2">
        <f t="shared" si="2"/>
        <v>120735674.26000001</v>
      </c>
      <c r="BG56" s="341">
        <v>17570.900000000001</v>
      </c>
      <c r="BH56" s="341">
        <v>4489.29</v>
      </c>
      <c r="BI56" s="341">
        <v>2083470.0899999999</v>
      </c>
      <c r="BJ56" s="341">
        <v>42276.56</v>
      </c>
      <c r="BK56" s="341"/>
      <c r="BL56" s="341">
        <v>2726.71</v>
      </c>
      <c r="BM56" s="341">
        <v>97938.58</v>
      </c>
      <c r="BN56" s="341">
        <v>65717.19</v>
      </c>
      <c r="BO56" s="341">
        <v>7273935.1799999988</v>
      </c>
      <c r="BP56" s="341">
        <v>4197.28</v>
      </c>
      <c r="BQ56" s="341"/>
      <c r="BR56" s="341">
        <v>140000</v>
      </c>
      <c r="BS56" s="341">
        <v>553575</v>
      </c>
      <c r="BT56" s="341"/>
      <c r="BU56" s="341"/>
      <c r="BV56" s="341">
        <v>32500</v>
      </c>
      <c r="BW56" s="341">
        <v>66667</v>
      </c>
      <c r="BX56" s="341">
        <v>33161</v>
      </c>
      <c r="BY56" s="341">
        <v>162583.19</v>
      </c>
      <c r="BZ56" s="341"/>
      <c r="CA56" s="341"/>
      <c r="CB56" s="347"/>
      <c r="CC56" s="341"/>
      <c r="CD56" s="341"/>
      <c r="CE56" s="341">
        <v>2653058.14</v>
      </c>
      <c r="CF56" s="341">
        <v>1076.5</v>
      </c>
      <c r="CG56" s="341">
        <v>684787.13</v>
      </c>
      <c r="CH56" s="341"/>
      <c r="CI56" s="341">
        <v>270770.13999999996</v>
      </c>
      <c r="CJ56" s="341">
        <v>1228.01</v>
      </c>
      <c r="CK56" s="341"/>
      <c r="CL56" s="341"/>
      <c r="CM56" s="341"/>
      <c r="CN56" s="341"/>
      <c r="CO56" s="341"/>
      <c r="CP56" s="347">
        <v>129510</v>
      </c>
      <c r="CQ56" s="341"/>
      <c r="CR56" s="342">
        <f t="shared" si="1"/>
        <v>12072765.760000002</v>
      </c>
    </row>
    <row r="57" spans="1:96" x14ac:dyDescent="0.25">
      <c r="A57" s="45" t="s">
        <v>386</v>
      </c>
      <c r="B57" s="45">
        <v>-100820.39</v>
      </c>
      <c r="C57" s="45">
        <v>-26953.9</v>
      </c>
      <c r="D57" s="45">
        <v>377224</v>
      </c>
      <c r="E57" s="45">
        <v>66493.33</v>
      </c>
      <c r="G57" s="45">
        <v>203676.72999999998</v>
      </c>
      <c r="H57" s="45">
        <v>9314150</v>
      </c>
      <c r="I57" s="45">
        <v>443.45000000000005</v>
      </c>
      <c r="J57" s="45">
        <v>937514.17999999993</v>
      </c>
      <c r="K57" s="45">
        <v>2916686.53</v>
      </c>
      <c r="L57" s="45">
        <v>5072243.22</v>
      </c>
      <c r="M57" s="45">
        <v>1105878.5900000001</v>
      </c>
      <c r="N57" s="45">
        <v>70471.090000000011</v>
      </c>
      <c r="O57" s="45">
        <v>1361584.1400000001</v>
      </c>
      <c r="P57" s="45">
        <v>78334.819999999992</v>
      </c>
      <c r="Q57" s="45">
        <v>120073.06</v>
      </c>
      <c r="R57" s="45">
        <v>98531.829999999987</v>
      </c>
      <c r="S57" s="45">
        <v>1966587.02</v>
      </c>
      <c r="T57" s="45">
        <v>34681.050000000003</v>
      </c>
      <c r="U57" s="45">
        <v>83610.91</v>
      </c>
      <c r="V57" s="45">
        <v>70163.64</v>
      </c>
      <c r="W57" s="45">
        <v>2681480.4400000004</v>
      </c>
      <c r="X57" s="45">
        <v>600415.71</v>
      </c>
      <c r="Y57" s="45">
        <v>280725.27</v>
      </c>
      <c r="Z57" s="45">
        <v>12400</v>
      </c>
      <c r="AA57" s="45">
        <v>35544.47</v>
      </c>
      <c r="AB57" s="45">
        <v>1092049.97</v>
      </c>
      <c r="AC57" s="45">
        <v>2234861</v>
      </c>
      <c r="AD57" s="45">
        <v>458459.43999999994</v>
      </c>
      <c r="AG57" s="45">
        <v>844040.01000000024</v>
      </c>
      <c r="AH57" s="45">
        <v>13091.34</v>
      </c>
      <c r="AI57" s="45">
        <v>123844.19000000002</v>
      </c>
      <c r="AJ57" s="45">
        <v>294498.09000000003</v>
      </c>
      <c r="AK57" s="45">
        <v>209642.61999999994</v>
      </c>
      <c r="AL57" s="45">
        <v>16938.25</v>
      </c>
      <c r="AM57" s="45">
        <v>12796.75</v>
      </c>
      <c r="AN57" s="45">
        <v>23927.24</v>
      </c>
      <c r="AO57" s="45">
        <v>12428.62</v>
      </c>
      <c r="AR57" s="45">
        <v>54592.7</v>
      </c>
      <c r="AS57" s="45">
        <v>2800</v>
      </c>
      <c r="AT57" s="45">
        <v>382180.48</v>
      </c>
      <c r="AV57" s="45">
        <v>10000</v>
      </c>
      <c r="AW57" s="45">
        <v>343164.30000000005</v>
      </c>
      <c r="AX57" s="45">
        <v>1764.54</v>
      </c>
      <c r="AY57" s="45">
        <v>2212294.8800000004</v>
      </c>
      <c r="AZ57" s="45">
        <v>427363.93</v>
      </c>
      <c r="BA57" s="45">
        <v>121130</v>
      </c>
      <c r="BE57" s="2">
        <f t="shared" si="2"/>
        <v>36253007.539999999</v>
      </c>
      <c r="BG57" s="341">
        <v>518.62</v>
      </c>
      <c r="BH57" s="341">
        <v>1923.98</v>
      </c>
      <c r="BI57" s="341">
        <v>795219.17999999993</v>
      </c>
      <c r="BJ57" s="341"/>
      <c r="BK57" s="341"/>
      <c r="BL57" s="341">
        <v>2184.66</v>
      </c>
      <c r="BM57" s="341">
        <v>42319.14</v>
      </c>
      <c r="BN57" s="341">
        <v>9272.880000000001</v>
      </c>
      <c r="BO57" s="341">
        <v>2229022.3899999997</v>
      </c>
      <c r="BP57" s="341">
        <v>1760.42</v>
      </c>
      <c r="BQ57" s="341"/>
      <c r="BR57" s="341">
        <v>370000</v>
      </c>
      <c r="BS57" s="341">
        <v>182600</v>
      </c>
      <c r="BT57" s="341"/>
      <c r="BU57" s="341"/>
      <c r="BV57" s="341"/>
      <c r="BW57" s="341"/>
      <c r="BX57" s="341"/>
      <c r="BY57" s="341">
        <v>117328.07</v>
      </c>
      <c r="BZ57" s="341"/>
      <c r="CA57" s="341"/>
      <c r="CB57" s="347"/>
      <c r="CC57" s="341"/>
      <c r="CD57" s="341"/>
      <c r="CE57" s="341">
        <v>564344</v>
      </c>
      <c r="CF57" s="341">
        <v>1076.5</v>
      </c>
      <c r="CG57" s="341"/>
      <c r="CH57" s="341">
        <v>1186063.1900000002</v>
      </c>
      <c r="CI57" s="341">
        <v>677174.42999999993</v>
      </c>
      <c r="CJ57" s="341">
        <v>8635.0300000000007</v>
      </c>
      <c r="CK57" s="341"/>
      <c r="CL57" s="341"/>
      <c r="CM57" s="341">
        <v>13736.560000000001</v>
      </c>
      <c r="CN57" s="341">
        <v>20000</v>
      </c>
      <c r="CO57" s="341"/>
      <c r="CP57" s="347">
        <v>37494</v>
      </c>
      <c r="CQ57" s="341"/>
      <c r="CR57" s="342">
        <f t="shared" si="1"/>
        <v>5418507.4699999988</v>
      </c>
    </row>
    <row r="58" spans="1:96" x14ac:dyDescent="0.25">
      <c r="A58" s="45" t="s">
        <v>387</v>
      </c>
      <c r="B58" s="45">
        <v>-33986.93</v>
      </c>
      <c r="C58" s="45">
        <v>-767.36</v>
      </c>
      <c r="D58" s="45">
        <v>94306</v>
      </c>
      <c r="E58" s="45">
        <v>15500.509999999998</v>
      </c>
      <c r="G58" s="45">
        <v>58193.35</v>
      </c>
      <c r="H58" s="45">
        <v>2431577</v>
      </c>
      <c r="I58" s="45">
        <v>110</v>
      </c>
      <c r="J58" s="45">
        <v>232091.18000000005</v>
      </c>
      <c r="K58" s="45">
        <v>758185.59000000008</v>
      </c>
      <c r="L58" s="45">
        <v>1252555.95</v>
      </c>
      <c r="M58" s="45">
        <v>277202.47999999992</v>
      </c>
      <c r="N58" s="45">
        <v>8701.32</v>
      </c>
      <c r="O58" s="45">
        <v>335185.79000000004</v>
      </c>
      <c r="P58" s="45">
        <v>7600.8100000000013</v>
      </c>
      <c r="Q58" s="45">
        <v>22624.74</v>
      </c>
      <c r="R58" s="45">
        <v>58022.8</v>
      </c>
      <c r="S58" s="45">
        <v>600424.3899999999</v>
      </c>
      <c r="T58" s="45">
        <v>17649.669999999998</v>
      </c>
      <c r="U58" s="45">
        <v>8413.3799999999992</v>
      </c>
      <c r="V58" s="45">
        <v>8706.380000000001</v>
      </c>
      <c r="W58" s="45">
        <v>885563.3</v>
      </c>
      <c r="X58" s="45">
        <v>70164.349999999991</v>
      </c>
      <c r="Z58" s="45">
        <v>12548.32</v>
      </c>
      <c r="AA58" s="45">
        <v>15770.41</v>
      </c>
      <c r="AB58" s="45">
        <v>238075.86000000002</v>
      </c>
      <c r="AC58" s="45">
        <v>513216</v>
      </c>
      <c r="AD58" s="45">
        <v>105281.14000000001</v>
      </c>
      <c r="AG58" s="45">
        <v>207511.94</v>
      </c>
      <c r="AH58" s="45">
        <v>1482.04</v>
      </c>
      <c r="AI58" s="45">
        <v>27922.399999999998</v>
      </c>
      <c r="AJ58" s="45">
        <v>66040.75</v>
      </c>
      <c r="AK58" s="45">
        <v>59338.500000000015</v>
      </c>
      <c r="AL58" s="45">
        <v>3653.75</v>
      </c>
      <c r="AM58" s="45">
        <v>5140</v>
      </c>
      <c r="AN58" s="45">
        <v>18538.079999999998</v>
      </c>
      <c r="AO58" s="45">
        <v>2710.39</v>
      </c>
      <c r="AR58" s="45">
        <v>11177.02</v>
      </c>
      <c r="AS58" s="45">
        <v>1728</v>
      </c>
      <c r="AT58" s="45">
        <v>73481.06</v>
      </c>
      <c r="AV58" s="45">
        <v>10000</v>
      </c>
      <c r="AW58" s="45">
        <v>67242.48</v>
      </c>
      <c r="AX58" s="45">
        <v>294.08999999999997</v>
      </c>
      <c r="AY58" s="45">
        <v>546626.46</v>
      </c>
      <c r="BA58" s="45">
        <v>260768</v>
      </c>
      <c r="BB58" s="45">
        <v>74593.259999999995</v>
      </c>
      <c r="BE58" s="2">
        <f t="shared" si="2"/>
        <v>9431164.6500000004</v>
      </c>
      <c r="BG58" s="341"/>
      <c r="BH58" s="341">
        <v>663.44</v>
      </c>
      <c r="BI58" s="341">
        <v>247921.68</v>
      </c>
      <c r="BJ58" s="341"/>
      <c r="BK58" s="341"/>
      <c r="BL58" s="341">
        <v>471.29</v>
      </c>
      <c r="BM58" s="341">
        <v>11486.62</v>
      </c>
      <c r="BN58" s="341">
        <v>2303.7600000000002</v>
      </c>
      <c r="BO58" s="341">
        <v>647966.16000000015</v>
      </c>
      <c r="BP58" s="341">
        <v>387.62</v>
      </c>
      <c r="BQ58" s="341"/>
      <c r="BR58" s="341"/>
      <c r="BS58" s="341">
        <v>43450</v>
      </c>
      <c r="BT58" s="341">
        <v>36500</v>
      </c>
      <c r="BU58" s="341"/>
      <c r="BV58" s="341">
        <v>20000</v>
      </c>
      <c r="BW58" s="341"/>
      <c r="BX58" s="341"/>
      <c r="BY58" s="341">
        <v>15085.039999999999</v>
      </c>
      <c r="BZ58" s="341"/>
      <c r="CA58" s="341"/>
      <c r="CB58" s="347"/>
      <c r="CC58" s="341"/>
      <c r="CD58" s="341"/>
      <c r="CE58" s="341">
        <v>57716.999999999985</v>
      </c>
      <c r="CF58" s="341">
        <v>1076.5</v>
      </c>
      <c r="CG58" s="341"/>
      <c r="CH58" s="341">
        <v>612290.96000000008</v>
      </c>
      <c r="CI58" s="341">
        <v>193775.36000000002</v>
      </c>
      <c r="CJ58" s="341">
        <v>402.84</v>
      </c>
      <c r="CK58" s="341"/>
      <c r="CL58" s="341"/>
      <c r="CM58" s="341">
        <v>4811.5200000000004</v>
      </c>
      <c r="CN58" s="341"/>
      <c r="CO58" s="341"/>
      <c r="CP58" s="347">
        <v>9740</v>
      </c>
      <c r="CQ58" s="341"/>
      <c r="CR58" s="342">
        <f t="shared" si="1"/>
        <v>1645506.7600000005</v>
      </c>
    </row>
    <row r="59" spans="1:96" x14ac:dyDescent="0.25">
      <c r="A59" s="45" t="s">
        <v>388</v>
      </c>
      <c r="B59" s="45">
        <v>-60034.239999999991</v>
      </c>
      <c r="C59" s="45">
        <v>-4981.62</v>
      </c>
      <c r="D59" s="45">
        <v>141459</v>
      </c>
      <c r="E59" s="45">
        <v>24600.239999999998</v>
      </c>
      <c r="G59" s="45">
        <v>58193.35</v>
      </c>
      <c r="H59" s="45">
        <v>4726075</v>
      </c>
      <c r="J59" s="45">
        <v>443001.9200000001</v>
      </c>
      <c r="K59" s="45">
        <v>1293779.4700000002</v>
      </c>
      <c r="L59" s="45">
        <v>2294705.9900000002</v>
      </c>
      <c r="M59" s="45">
        <v>442035.89</v>
      </c>
      <c r="N59" s="45">
        <v>40432.54</v>
      </c>
      <c r="O59" s="45">
        <v>945717.7699999999</v>
      </c>
      <c r="Q59" s="45">
        <v>52929.279999999992</v>
      </c>
      <c r="R59" s="45">
        <v>38573.670000000006</v>
      </c>
      <c r="S59" s="45">
        <v>1210117.06</v>
      </c>
      <c r="T59" s="45">
        <v>57736.94999999999</v>
      </c>
      <c r="U59" s="45">
        <v>19630.43</v>
      </c>
      <c r="V59" s="45">
        <v>13749.03</v>
      </c>
      <c r="W59" s="45">
        <v>1469394.1600000001</v>
      </c>
      <c r="X59" s="45">
        <v>269049.69999999995</v>
      </c>
      <c r="AA59" s="45">
        <v>19542.55</v>
      </c>
      <c r="AB59" s="45">
        <v>454461.16000000003</v>
      </c>
      <c r="AC59" s="45">
        <v>724842.99999999977</v>
      </c>
      <c r="AD59" s="45">
        <v>148694.31</v>
      </c>
      <c r="AE59" s="45">
        <v>1369.13</v>
      </c>
      <c r="AG59" s="45">
        <v>499256.12999999995</v>
      </c>
      <c r="AH59" s="45">
        <v>6916.18</v>
      </c>
      <c r="AI59" s="45">
        <v>65630.63</v>
      </c>
      <c r="AJ59" s="45">
        <v>112728.88000000002</v>
      </c>
      <c r="AK59" s="45">
        <v>92772.87999999999</v>
      </c>
      <c r="AL59" s="45">
        <v>5373.5</v>
      </c>
      <c r="AM59" s="45">
        <v>4445.5</v>
      </c>
      <c r="AN59" s="45">
        <v>6941.9099999999989</v>
      </c>
      <c r="AO59" s="45">
        <v>4623.63</v>
      </c>
      <c r="AR59" s="45">
        <v>17454.2</v>
      </c>
      <c r="AS59" s="45">
        <v>2785</v>
      </c>
      <c r="AT59" s="45">
        <v>67711.740000000005</v>
      </c>
      <c r="AV59" s="45">
        <v>13132.75</v>
      </c>
      <c r="AW59" s="45">
        <v>156091.96</v>
      </c>
      <c r="AX59" s="45">
        <v>882.27</v>
      </c>
      <c r="AY59" s="45">
        <v>1125376.29</v>
      </c>
      <c r="AZ59" s="45">
        <v>183155.97</v>
      </c>
      <c r="BA59" s="45">
        <v>245000</v>
      </c>
      <c r="BC59" s="45">
        <v>45454.54</v>
      </c>
      <c r="BD59" s="45">
        <v>6818.17</v>
      </c>
      <c r="BE59" s="2">
        <f t="shared" si="2"/>
        <v>17487627.870000005</v>
      </c>
      <c r="BG59" s="341"/>
      <c r="BH59" s="341">
        <v>641.33000000000004</v>
      </c>
      <c r="BI59" s="341">
        <v>448232.7</v>
      </c>
      <c r="BJ59" s="341"/>
      <c r="BK59" s="341"/>
      <c r="BL59" s="341">
        <v>863.07</v>
      </c>
      <c r="BM59" s="341">
        <v>22368.69</v>
      </c>
      <c r="BN59" s="341">
        <v>6708.47</v>
      </c>
      <c r="BO59" s="341">
        <v>823536.22000000009</v>
      </c>
      <c r="BP59" s="341">
        <v>311.31</v>
      </c>
      <c r="BQ59" s="341"/>
      <c r="BR59" s="341">
        <v>345000</v>
      </c>
      <c r="BS59" s="341">
        <v>58300</v>
      </c>
      <c r="BT59" s="341">
        <v>15000</v>
      </c>
      <c r="BU59" s="341"/>
      <c r="BV59" s="341">
        <v>25000</v>
      </c>
      <c r="BW59" s="341"/>
      <c r="BX59" s="341"/>
      <c r="BY59" s="341">
        <v>78777.42</v>
      </c>
      <c r="BZ59" s="341"/>
      <c r="CA59" s="341"/>
      <c r="CB59" s="347"/>
      <c r="CC59" s="341"/>
      <c r="CD59" s="341"/>
      <c r="CE59" s="341">
        <v>131466.56</v>
      </c>
      <c r="CF59" s="341">
        <v>1076.5</v>
      </c>
      <c r="CG59" s="341"/>
      <c r="CH59" s="341">
        <v>953714.67</v>
      </c>
      <c r="CI59" s="341"/>
      <c r="CJ59" s="341"/>
      <c r="CK59" s="341"/>
      <c r="CL59" s="341"/>
      <c r="CM59" s="341">
        <v>9021.6</v>
      </c>
      <c r="CN59" s="341"/>
      <c r="CO59" s="341">
        <v>420000</v>
      </c>
      <c r="CP59" s="347">
        <v>18647</v>
      </c>
      <c r="CQ59" s="341"/>
      <c r="CR59" s="342">
        <f t="shared" si="1"/>
        <v>2886559.75</v>
      </c>
    </row>
    <row r="60" spans="1:96" x14ac:dyDescent="0.25">
      <c r="A60" s="45" t="s">
        <v>389</v>
      </c>
      <c r="B60" s="45">
        <v>-153797.49</v>
      </c>
      <c r="C60" s="45">
        <v>-10659.46</v>
      </c>
      <c r="D60" s="45">
        <v>801601</v>
      </c>
      <c r="E60" s="45">
        <v>113188.96</v>
      </c>
      <c r="G60" s="45">
        <v>378256.78999999992</v>
      </c>
      <c r="H60" s="45">
        <v>19106378</v>
      </c>
      <c r="I60" s="45">
        <v>165</v>
      </c>
      <c r="J60" s="45">
        <v>1754503.0199999998</v>
      </c>
      <c r="K60" s="45">
        <v>5550705.3799999999</v>
      </c>
      <c r="L60" s="45">
        <v>10836194.329999998</v>
      </c>
      <c r="M60" s="45">
        <v>3213249.5199999996</v>
      </c>
      <c r="N60" s="45">
        <v>99507.56</v>
      </c>
      <c r="O60" s="45">
        <v>3252630.15</v>
      </c>
      <c r="P60" s="45">
        <v>27680.450000000004</v>
      </c>
      <c r="Q60" s="45">
        <v>157896.30000000002</v>
      </c>
      <c r="R60" s="45">
        <v>63509.900000000009</v>
      </c>
      <c r="S60" s="45">
        <v>3039597.2300000004</v>
      </c>
      <c r="T60" s="45">
        <v>168306.84</v>
      </c>
      <c r="U60" s="45">
        <v>68500.23000000001</v>
      </c>
      <c r="V60" s="45">
        <v>47081.05999999999</v>
      </c>
      <c r="W60" s="45">
        <v>7759253.7200000016</v>
      </c>
      <c r="X60" s="45">
        <v>1160074.29</v>
      </c>
      <c r="Z60" s="45">
        <v>10742</v>
      </c>
      <c r="AA60" s="45">
        <v>55868.45</v>
      </c>
      <c r="AB60" s="45">
        <v>1246653.3799999999</v>
      </c>
      <c r="AC60" s="45">
        <v>4721388</v>
      </c>
      <c r="AD60" s="45">
        <v>968545.65999999992</v>
      </c>
      <c r="AG60" s="45">
        <v>1284496.1200000001</v>
      </c>
      <c r="AH60" s="45">
        <v>16302.43</v>
      </c>
      <c r="AI60" s="45">
        <v>240762.09</v>
      </c>
      <c r="AJ60" s="45">
        <v>536175.88000000012</v>
      </c>
      <c r="AK60" s="45">
        <v>491575.81000000011</v>
      </c>
      <c r="AL60" s="45">
        <v>38596.5</v>
      </c>
      <c r="AM60" s="45">
        <v>68775</v>
      </c>
      <c r="AN60" s="45">
        <v>36801.35</v>
      </c>
      <c r="AO60" s="45">
        <v>27090.1</v>
      </c>
      <c r="AQ60" s="45">
        <v>102678.97</v>
      </c>
      <c r="AR60" s="45">
        <v>73370.66</v>
      </c>
      <c r="AS60" s="45">
        <v>40832</v>
      </c>
      <c r="AT60" s="45">
        <v>1317166.8999999999</v>
      </c>
      <c r="AU60" s="45">
        <v>63102</v>
      </c>
      <c r="AV60" s="45">
        <v>121108.2</v>
      </c>
      <c r="AW60" s="45">
        <v>177240.84000000003</v>
      </c>
      <c r="AX60" s="45">
        <v>1764.54</v>
      </c>
      <c r="AY60" s="45">
        <v>2686031.38</v>
      </c>
      <c r="AZ60" s="45">
        <v>702097.89</v>
      </c>
      <c r="BA60" s="45">
        <v>281400</v>
      </c>
      <c r="BB60" s="45">
        <v>284571</v>
      </c>
      <c r="BE60" s="2">
        <f t="shared" si="2"/>
        <v>73028959.930000007</v>
      </c>
      <c r="BG60" s="341"/>
      <c r="BH60" s="341">
        <v>2565.31</v>
      </c>
      <c r="BI60" s="341">
        <v>1212911.81</v>
      </c>
      <c r="BJ60" s="341">
        <v>421.08</v>
      </c>
      <c r="BK60" s="341"/>
      <c r="BL60" s="341">
        <v>2251.17</v>
      </c>
      <c r="BM60" s="341">
        <v>62269.59</v>
      </c>
      <c r="BN60" s="341">
        <v>14642.41</v>
      </c>
      <c r="BO60" s="341">
        <v>4960895.59</v>
      </c>
      <c r="BP60" s="341">
        <v>2753.6099999999997</v>
      </c>
      <c r="BQ60" s="341"/>
      <c r="BR60" s="341">
        <v>340000</v>
      </c>
      <c r="BS60" s="341">
        <v>373175</v>
      </c>
      <c r="BT60" s="341"/>
      <c r="BU60" s="341">
        <v>726.76</v>
      </c>
      <c r="BV60" s="341"/>
      <c r="BW60" s="341"/>
      <c r="BX60" s="341"/>
      <c r="BY60" s="341">
        <v>98890.81</v>
      </c>
      <c r="BZ60" s="341"/>
      <c r="CA60" s="341">
        <v>20000</v>
      </c>
      <c r="CB60" s="347"/>
      <c r="CC60" s="341"/>
      <c r="CD60" s="341"/>
      <c r="CE60" s="341">
        <v>2664280.9</v>
      </c>
      <c r="CF60" s="341">
        <v>1076.5</v>
      </c>
      <c r="CG60" s="341">
        <v>355562.55</v>
      </c>
      <c r="CH60" s="341"/>
      <c r="CI60" s="341">
        <v>205194.60000000003</v>
      </c>
      <c r="CJ60" s="341">
        <v>1409.93</v>
      </c>
      <c r="CK60" s="341"/>
      <c r="CL60" s="341"/>
      <c r="CM60" s="341"/>
      <c r="CN60" s="341"/>
      <c r="CO60" s="341"/>
      <c r="CP60" s="347">
        <v>76224</v>
      </c>
      <c r="CQ60" s="341"/>
      <c r="CR60" s="342">
        <f t="shared" si="1"/>
        <v>9114832.6600000001</v>
      </c>
    </row>
    <row r="61" spans="1:96" x14ac:dyDescent="0.25">
      <c r="A61" s="45" t="s">
        <v>59</v>
      </c>
      <c r="B61" s="45">
        <v>-70617.16</v>
      </c>
      <c r="C61" s="45">
        <v>-27490.62</v>
      </c>
      <c r="D61" s="45">
        <v>282918</v>
      </c>
      <c r="E61" s="45">
        <v>33413.18</v>
      </c>
      <c r="G61" s="45">
        <v>145483.38</v>
      </c>
      <c r="H61" s="45">
        <v>5408161</v>
      </c>
      <c r="J61" s="45">
        <v>591251.73</v>
      </c>
      <c r="K61" s="45">
        <v>1675287.3099999998</v>
      </c>
      <c r="L61" s="45">
        <v>2825123.5500000003</v>
      </c>
      <c r="M61" s="45">
        <v>1778017.1</v>
      </c>
      <c r="N61" s="45">
        <v>91055.030000000013</v>
      </c>
      <c r="O61" s="45">
        <v>878374.0199999999</v>
      </c>
      <c r="P61" s="45">
        <v>5197.21</v>
      </c>
      <c r="Q61" s="45">
        <v>44012.62</v>
      </c>
      <c r="R61" s="45">
        <v>58373.79</v>
      </c>
      <c r="S61" s="45">
        <v>1157336.0899999999</v>
      </c>
      <c r="T61" s="45">
        <v>20925.689999999995</v>
      </c>
      <c r="U61" s="45">
        <v>45002.350000000006</v>
      </c>
      <c r="V61" s="45">
        <v>31853.1</v>
      </c>
      <c r="W61" s="45">
        <v>366643.93999999994</v>
      </c>
      <c r="X61" s="45">
        <v>303664.89</v>
      </c>
      <c r="AA61" s="45">
        <v>22736.49</v>
      </c>
      <c r="AB61" s="45">
        <v>672519.24</v>
      </c>
      <c r="AC61" s="45">
        <v>998872.99999999977</v>
      </c>
      <c r="AD61" s="45">
        <v>204908.83</v>
      </c>
      <c r="AG61" s="45">
        <v>576385.60999999987</v>
      </c>
      <c r="AH61" s="45">
        <v>14573.38</v>
      </c>
      <c r="AI61" s="45">
        <v>126120.61000000002</v>
      </c>
      <c r="AJ61" s="45">
        <v>145075.78000000003</v>
      </c>
      <c r="AK61" s="45">
        <v>73194.190000000017</v>
      </c>
      <c r="AL61" s="45">
        <v>8599.5</v>
      </c>
      <c r="AM61" s="45">
        <v>12813.75</v>
      </c>
      <c r="AN61" s="45">
        <v>16603.2</v>
      </c>
      <c r="AO61" s="45">
        <v>6410.79</v>
      </c>
      <c r="AQ61" s="45">
        <v>25000</v>
      </c>
      <c r="AR61" s="45">
        <v>26040.35</v>
      </c>
      <c r="AS61" s="45">
        <v>3936</v>
      </c>
      <c r="AT61" s="45">
        <v>62251.909999999996</v>
      </c>
      <c r="AV61" s="45">
        <v>23366.400000000001</v>
      </c>
      <c r="AW61" s="45">
        <v>31307.739999999994</v>
      </c>
      <c r="AX61" s="45">
        <v>4117.26</v>
      </c>
      <c r="AY61" s="45">
        <v>1573102.88</v>
      </c>
      <c r="AZ61" s="45">
        <v>281845.56999999995</v>
      </c>
      <c r="BA61" s="45">
        <v>142000</v>
      </c>
      <c r="BE61" s="2">
        <f t="shared" si="2"/>
        <v>20695768.679999992</v>
      </c>
      <c r="BG61" s="341"/>
      <c r="BH61" s="341">
        <v>641.33000000000004</v>
      </c>
      <c r="BI61" s="341">
        <v>613987.05000000005</v>
      </c>
      <c r="BJ61" s="341"/>
      <c r="BK61" s="341"/>
      <c r="BL61" s="341">
        <v>1285.22</v>
      </c>
      <c r="BM61" s="341">
        <v>32646.19</v>
      </c>
      <c r="BN61" s="341">
        <v>3466.5</v>
      </c>
      <c r="BO61" s="341">
        <v>1191833.51</v>
      </c>
      <c r="BP61" s="341">
        <v>1045.26</v>
      </c>
      <c r="BQ61" s="341"/>
      <c r="BR61" s="341"/>
      <c r="BS61" s="341">
        <v>89650</v>
      </c>
      <c r="BT61" s="341"/>
      <c r="BU61" s="341"/>
      <c r="BV61" s="341"/>
      <c r="BW61" s="341"/>
      <c r="BX61" s="341">
        <v>33161</v>
      </c>
      <c r="BY61" s="341">
        <v>72072.960000000006</v>
      </c>
      <c r="BZ61" s="341"/>
      <c r="CA61" s="341"/>
      <c r="CB61" s="347"/>
      <c r="CC61" s="341"/>
      <c r="CD61" s="341"/>
      <c r="CE61" s="341">
        <v>9619.5</v>
      </c>
      <c r="CF61" s="341">
        <v>1076.5</v>
      </c>
      <c r="CG61" s="341"/>
      <c r="CH61" s="341">
        <v>587936.95999999985</v>
      </c>
      <c r="CI61" s="341">
        <v>164372.01</v>
      </c>
      <c r="CJ61" s="341">
        <v>1936.22</v>
      </c>
      <c r="CK61" s="341"/>
      <c r="CL61" s="341"/>
      <c r="CM61" s="341"/>
      <c r="CN61" s="341"/>
      <c r="CO61" s="341"/>
      <c r="CP61" s="347">
        <v>21656</v>
      </c>
      <c r="CQ61" s="341"/>
      <c r="CR61" s="342">
        <f t="shared" si="1"/>
        <v>2177826.4200000004</v>
      </c>
    </row>
    <row r="62" spans="1:96" x14ac:dyDescent="0.25">
      <c r="A62" s="45" t="s">
        <v>390</v>
      </c>
      <c r="B62" s="45">
        <v>-64884.740000000013</v>
      </c>
      <c r="C62" s="45">
        <v>-4036.84</v>
      </c>
      <c r="D62" s="45">
        <v>188612</v>
      </c>
      <c r="E62" s="45">
        <v>29677.489999999998</v>
      </c>
      <c r="F62" s="45">
        <v>621.25</v>
      </c>
      <c r="G62" s="45">
        <v>203676.72999999998</v>
      </c>
      <c r="H62" s="45">
        <v>4843132.9999999991</v>
      </c>
      <c r="J62" s="45">
        <v>500767.91</v>
      </c>
      <c r="K62" s="45">
        <v>1488402.4899999998</v>
      </c>
      <c r="L62" s="45">
        <v>2778623.5200000005</v>
      </c>
      <c r="M62" s="45">
        <v>738281.1</v>
      </c>
      <c r="N62" s="45">
        <v>58150.830000000009</v>
      </c>
      <c r="O62" s="45">
        <v>579427.11</v>
      </c>
      <c r="P62" s="45">
        <v>8312.35</v>
      </c>
      <c r="Q62" s="45">
        <v>30792.86</v>
      </c>
      <c r="R62" s="45">
        <v>81326.290000000023</v>
      </c>
      <c r="S62" s="45">
        <v>998787.90000000014</v>
      </c>
      <c r="T62" s="45">
        <v>10223.879999999999</v>
      </c>
      <c r="U62" s="45">
        <v>13598.160000000002</v>
      </c>
      <c r="V62" s="45">
        <v>23983.68</v>
      </c>
      <c r="W62" s="45">
        <v>1134365.3999999999</v>
      </c>
      <c r="X62" s="45">
        <v>154954.37000000002</v>
      </c>
      <c r="AA62" s="45">
        <v>21349.4</v>
      </c>
      <c r="AB62" s="45">
        <v>554791.66999999993</v>
      </c>
      <c r="AC62" s="45">
        <v>900711.00000000012</v>
      </c>
      <c r="AD62" s="45">
        <v>184771.88000000003</v>
      </c>
      <c r="AG62" s="45">
        <v>502647</v>
      </c>
      <c r="AH62" s="45">
        <v>4446.12</v>
      </c>
      <c r="AI62" s="45">
        <v>78497.260000000009</v>
      </c>
      <c r="AJ62" s="45">
        <v>126848.65</v>
      </c>
      <c r="AK62" s="45">
        <v>77411.14</v>
      </c>
      <c r="AL62" s="45">
        <v>6821.75</v>
      </c>
      <c r="AM62" s="45">
        <v>10615</v>
      </c>
      <c r="AN62" s="45">
        <v>42693.780000000013</v>
      </c>
      <c r="AO62" s="45">
        <v>5483.82</v>
      </c>
      <c r="AR62" s="45">
        <v>23260.7</v>
      </c>
      <c r="AS62" s="45">
        <v>6688</v>
      </c>
      <c r="AT62" s="45">
        <v>61585.719999999994</v>
      </c>
      <c r="AV62" s="45">
        <v>24619.5</v>
      </c>
      <c r="AW62" s="45">
        <v>6809.18</v>
      </c>
      <c r="AX62" s="45">
        <v>1176.3599999999999</v>
      </c>
      <c r="AY62" s="45">
        <v>1299967.9599999995</v>
      </c>
      <c r="AZ62" s="45">
        <v>298268.34999999998</v>
      </c>
      <c r="BA62" s="45">
        <v>250000</v>
      </c>
      <c r="BB62" s="45">
        <v>123130.31000000001</v>
      </c>
      <c r="BE62" s="2">
        <f t="shared" si="2"/>
        <v>18409391.289999995</v>
      </c>
      <c r="BG62" s="341"/>
      <c r="BH62" s="341">
        <v>641.33000000000004</v>
      </c>
      <c r="BI62" s="341">
        <v>523647.99</v>
      </c>
      <c r="BJ62" s="341"/>
      <c r="BK62" s="341"/>
      <c r="BL62" s="341"/>
      <c r="BM62" s="341">
        <v>28414.28</v>
      </c>
      <c r="BN62" s="341">
        <v>120.15</v>
      </c>
      <c r="BO62" s="341">
        <v>1037389.7100000001</v>
      </c>
      <c r="BP62" s="341">
        <v>1066.92</v>
      </c>
      <c r="BQ62" s="341"/>
      <c r="BR62" s="341"/>
      <c r="BS62" s="341">
        <v>75350</v>
      </c>
      <c r="BT62" s="341"/>
      <c r="BU62" s="341">
        <v>6854.2699999999995</v>
      </c>
      <c r="BV62" s="341"/>
      <c r="BW62" s="341"/>
      <c r="BX62" s="341">
        <v>33161</v>
      </c>
      <c r="BY62" s="341">
        <v>73749.08</v>
      </c>
      <c r="BZ62" s="341"/>
      <c r="CA62" s="341"/>
      <c r="CB62" s="347"/>
      <c r="CC62" s="341"/>
      <c r="CD62" s="341"/>
      <c r="CE62" s="341">
        <v>113548.39</v>
      </c>
      <c r="CF62" s="341">
        <v>1076.5</v>
      </c>
      <c r="CG62" s="341"/>
      <c r="CH62" s="341">
        <v>684584.58999999985</v>
      </c>
      <c r="CI62" s="341">
        <v>204227.19999999998</v>
      </c>
      <c r="CJ62" s="341">
        <v>6748.6900000000005</v>
      </c>
      <c r="CK62" s="341"/>
      <c r="CL62" s="341"/>
      <c r="CM62" s="341">
        <v>14434.56</v>
      </c>
      <c r="CN62" s="341"/>
      <c r="CO62" s="341">
        <v>360000</v>
      </c>
      <c r="CP62" s="347">
        <v>18768</v>
      </c>
      <c r="CQ62" s="341"/>
      <c r="CR62" s="342">
        <f t="shared" si="1"/>
        <v>2631079.06</v>
      </c>
    </row>
    <row r="63" spans="1:96" x14ac:dyDescent="0.25">
      <c r="A63" s="45" t="s">
        <v>391</v>
      </c>
      <c r="B63" s="45">
        <v>-3332.12</v>
      </c>
      <c r="D63" s="45">
        <v>94306</v>
      </c>
      <c r="E63" s="45">
        <v>5566.6200000000008</v>
      </c>
      <c r="G63" s="45">
        <v>29096.68</v>
      </c>
      <c r="H63" s="45">
        <v>478982.00000000006</v>
      </c>
      <c r="J63" s="45">
        <v>41421.42</v>
      </c>
      <c r="K63" s="45">
        <v>124889.73999999999</v>
      </c>
      <c r="L63" s="45">
        <v>261517.46999999997</v>
      </c>
      <c r="M63" s="45">
        <v>84837.890000000014</v>
      </c>
      <c r="N63" s="45">
        <v>6599.82</v>
      </c>
      <c r="O63" s="45">
        <v>40569.480000000003</v>
      </c>
      <c r="P63" s="45">
        <v>280.38</v>
      </c>
      <c r="Q63" s="45">
        <v>1450.86</v>
      </c>
      <c r="R63" s="45">
        <v>7149.8099999999995</v>
      </c>
      <c r="S63" s="45">
        <v>120371.23</v>
      </c>
      <c r="V63" s="45">
        <v>2113.67</v>
      </c>
      <c r="W63" s="45">
        <v>127521.03999999998</v>
      </c>
      <c r="X63" s="45">
        <v>15410.360000000002</v>
      </c>
      <c r="AA63" s="45">
        <v>12122.99</v>
      </c>
      <c r="AB63" s="45">
        <v>106569.42000000001</v>
      </c>
      <c r="AC63" s="45">
        <v>190219.99999999997</v>
      </c>
      <c r="AD63" s="45">
        <v>39021.740000000005</v>
      </c>
      <c r="AG63" s="45">
        <v>53866.180000000008</v>
      </c>
      <c r="AH63" s="45">
        <v>988.03</v>
      </c>
      <c r="AI63" s="45">
        <v>14979.53</v>
      </c>
      <c r="AJ63" s="45">
        <v>24439.009999999995</v>
      </c>
      <c r="AK63" s="45">
        <v>49999.999999999993</v>
      </c>
      <c r="AL63" s="45">
        <v>1426</v>
      </c>
      <c r="AM63" s="45">
        <v>2057</v>
      </c>
      <c r="AN63" s="45">
        <v>5898.8600000000006</v>
      </c>
      <c r="AO63" s="45">
        <v>1064.05</v>
      </c>
      <c r="AR63" s="45">
        <v>3990.65</v>
      </c>
      <c r="AS63" s="45">
        <v>1447</v>
      </c>
      <c r="AT63" s="45">
        <v>5025.3499999999995</v>
      </c>
      <c r="AV63" s="45">
        <v>13759.3</v>
      </c>
      <c r="AW63" s="45">
        <v>700.95999999999981</v>
      </c>
      <c r="AY63" s="45">
        <v>120338.88000000002</v>
      </c>
      <c r="AZ63" s="45">
        <v>61051.990000000005</v>
      </c>
      <c r="BA63" s="45">
        <v>104500</v>
      </c>
      <c r="BE63" s="2">
        <f t="shared" si="2"/>
        <v>2252219.2900000005</v>
      </c>
      <c r="BG63" s="341">
        <v>2275.27</v>
      </c>
      <c r="BH63" s="341">
        <v>663.44</v>
      </c>
      <c r="BI63" s="341">
        <v>129535.61999999998</v>
      </c>
      <c r="BJ63" s="341"/>
      <c r="BK63" s="341"/>
      <c r="BL63" s="341"/>
      <c r="BM63" s="341">
        <v>7859.27</v>
      </c>
      <c r="BN63" s="341">
        <v>316.01</v>
      </c>
      <c r="BO63" s="341">
        <v>328285.72999999992</v>
      </c>
      <c r="BP63" s="341">
        <v>375.03000000000003</v>
      </c>
      <c r="BQ63" s="341"/>
      <c r="BR63" s="341">
        <v>200000</v>
      </c>
      <c r="BS63" s="341">
        <v>15950</v>
      </c>
      <c r="BT63" s="341"/>
      <c r="BU63" s="341"/>
      <c r="BV63" s="341">
        <v>10000</v>
      </c>
      <c r="BW63" s="341"/>
      <c r="BX63" s="341"/>
      <c r="BY63" s="341">
        <v>13408.92</v>
      </c>
      <c r="BZ63" s="341"/>
      <c r="CA63" s="341"/>
      <c r="CB63" s="347"/>
      <c r="CC63" s="341"/>
      <c r="CD63" s="341"/>
      <c r="CE63" s="341">
        <v>57717</v>
      </c>
      <c r="CF63" s="341">
        <v>1076.5</v>
      </c>
      <c r="CG63" s="341"/>
      <c r="CH63" s="341">
        <v>88930.51999999999</v>
      </c>
      <c r="CI63" s="341"/>
      <c r="CJ63" s="341"/>
      <c r="CK63" s="341"/>
      <c r="CL63" s="341"/>
      <c r="CM63" s="341"/>
      <c r="CN63" s="341"/>
      <c r="CO63" s="341"/>
      <c r="CP63" s="347">
        <v>1821</v>
      </c>
      <c r="CQ63" s="341"/>
      <c r="CR63" s="342">
        <f t="shared" si="1"/>
        <v>717880.71000000008</v>
      </c>
    </row>
    <row r="64" spans="1:96" x14ac:dyDescent="0.25">
      <c r="A64" s="45" t="s">
        <v>392</v>
      </c>
      <c r="B64" s="45">
        <v>-180690.37</v>
      </c>
      <c r="C64" s="45">
        <v>-6868.01</v>
      </c>
      <c r="D64" s="45">
        <v>188612</v>
      </c>
      <c r="E64" s="45">
        <v>43179.139999999992</v>
      </c>
      <c r="G64" s="45">
        <v>232773.41</v>
      </c>
      <c r="H64" s="45">
        <v>6852258.9999999991</v>
      </c>
      <c r="I64" s="45">
        <v>478.1</v>
      </c>
      <c r="J64" s="45">
        <v>836024.2</v>
      </c>
      <c r="K64" s="45">
        <v>2072419.9500000002</v>
      </c>
      <c r="L64" s="45">
        <v>3672098.0699999994</v>
      </c>
      <c r="M64" s="45">
        <v>1025779.6199999999</v>
      </c>
      <c r="N64" s="45">
        <v>30643.269999999997</v>
      </c>
      <c r="O64" s="45">
        <v>1129519.8500000001</v>
      </c>
      <c r="P64" s="45">
        <v>5276.2</v>
      </c>
      <c r="Q64" s="45">
        <v>14839.05</v>
      </c>
      <c r="R64" s="45">
        <v>74223.55</v>
      </c>
      <c r="S64" s="45">
        <v>1343966.3999999997</v>
      </c>
      <c r="T64" s="45">
        <v>26061.799999999996</v>
      </c>
      <c r="U64" s="45">
        <v>19245.920000000002</v>
      </c>
      <c r="V64" s="45">
        <v>11453.67</v>
      </c>
      <c r="W64" s="45">
        <v>2141761.61</v>
      </c>
      <c r="X64" s="45">
        <v>185342.95</v>
      </c>
      <c r="AA64" s="45">
        <v>26645.22</v>
      </c>
      <c r="AB64" s="45">
        <v>703664.19999999984</v>
      </c>
      <c r="AC64" s="45">
        <v>1536149</v>
      </c>
      <c r="AD64" s="45">
        <v>315125.65000000002</v>
      </c>
      <c r="AG64" s="45">
        <v>567801.72</v>
      </c>
      <c r="AH64" s="45">
        <v>8398.2199999999993</v>
      </c>
      <c r="AI64" s="45">
        <v>83680.11</v>
      </c>
      <c r="AJ64" s="45">
        <v>195200.05000000002</v>
      </c>
      <c r="AK64" s="45">
        <v>134741.57</v>
      </c>
      <c r="AL64" s="45">
        <v>11626</v>
      </c>
      <c r="AM64" s="45">
        <v>21050</v>
      </c>
      <c r="AN64" s="45">
        <v>27000.62</v>
      </c>
      <c r="AO64" s="45">
        <v>8717.7999999999993</v>
      </c>
      <c r="AQ64" s="45">
        <v>46199.37</v>
      </c>
      <c r="AR64" s="45">
        <v>32992.92</v>
      </c>
      <c r="AS64" s="45">
        <v>10645</v>
      </c>
      <c r="AT64" s="45">
        <v>278812.43</v>
      </c>
      <c r="AV64" s="45">
        <v>32764.65</v>
      </c>
      <c r="AW64" s="45">
        <v>198674.26999999996</v>
      </c>
      <c r="AY64" s="45">
        <v>1534022.25</v>
      </c>
      <c r="AZ64" s="45">
        <v>470671.6</v>
      </c>
      <c r="BA64" s="45">
        <v>134440</v>
      </c>
      <c r="BB64" s="45">
        <v>131078.97</v>
      </c>
      <c r="BE64" s="2">
        <f t="shared" si="2"/>
        <v>26228500.999999996</v>
      </c>
      <c r="BG64" s="341"/>
      <c r="BH64" s="341">
        <v>641.33000000000004</v>
      </c>
      <c r="BI64" s="341">
        <v>593800.13000000012</v>
      </c>
      <c r="BJ64" s="341"/>
      <c r="BK64" s="341"/>
      <c r="BL64" s="341">
        <v>968.09</v>
      </c>
      <c r="BM64" s="341">
        <v>35064.43</v>
      </c>
      <c r="BN64" s="341">
        <v>14335.099999999999</v>
      </c>
      <c r="BO64" s="341">
        <v>1593268.62</v>
      </c>
      <c r="BP64" s="341">
        <v>1305.1099999999999</v>
      </c>
      <c r="BQ64" s="341"/>
      <c r="BR64" s="341"/>
      <c r="BS64" s="341">
        <v>130900</v>
      </c>
      <c r="BT64" s="341"/>
      <c r="BU64" s="341">
        <v>3317.88</v>
      </c>
      <c r="BV64" s="341"/>
      <c r="BW64" s="341"/>
      <c r="BX64" s="341"/>
      <c r="BY64" s="341">
        <v>58664.04</v>
      </c>
      <c r="BZ64" s="341"/>
      <c r="CA64" s="341"/>
      <c r="CB64" s="347"/>
      <c r="CC64" s="341"/>
      <c r="CD64" s="341"/>
      <c r="CE64" s="341">
        <v>428067.75999999989</v>
      </c>
      <c r="CF64" s="341">
        <v>1076.5</v>
      </c>
      <c r="CG64" s="341"/>
      <c r="CH64" s="341">
        <v>668415.41</v>
      </c>
      <c r="CI64" s="341">
        <v>189912.83999999997</v>
      </c>
      <c r="CJ64" s="341">
        <v>3651.53</v>
      </c>
      <c r="CK64" s="341"/>
      <c r="CL64" s="341"/>
      <c r="CM64" s="341">
        <v>25536.68</v>
      </c>
      <c r="CN64" s="341"/>
      <c r="CO64" s="341"/>
      <c r="CP64" s="347">
        <v>27124</v>
      </c>
      <c r="CQ64" s="341"/>
      <c r="CR64" s="342">
        <f t="shared" si="1"/>
        <v>3145575.47</v>
      </c>
    </row>
    <row r="65" spans="1:96" x14ac:dyDescent="0.25">
      <c r="A65" s="45" t="s">
        <v>393</v>
      </c>
      <c r="B65" s="45">
        <v>-222369.74</v>
      </c>
      <c r="C65" s="45">
        <v>-26099.62</v>
      </c>
      <c r="D65" s="45">
        <v>424377.00000000006</v>
      </c>
      <c r="E65" s="45">
        <v>74504.570000000007</v>
      </c>
      <c r="G65" s="45">
        <v>290966.76</v>
      </c>
      <c r="H65" s="45">
        <v>7566252.9999999991</v>
      </c>
      <c r="I65" s="45">
        <v>300</v>
      </c>
      <c r="J65" s="45">
        <v>735993.00000000023</v>
      </c>
      <c r="K65" s="45">
        <v>2182833.37</v>
      </c>
      <c r="L65" s="45">
        <v>3722065.6300000008</v>
      </c>
      <c r="M65" s="45">
        <v>1993673.0600000003</v>
      </c>
      <c r="N65" s="45">
        <v>20658.480000000003</v>
      </c>
      <c r="O65" s="45">
        <v>1448187.2499999998</v>
      </c>
      <c r="P65" s="45">
        <v>19254.509999999995</v>
      </c>
      <c r="Q65" s="45">
        <v>135777.07</v>
      </c>
      <c r="R65" s="45">
        <v>65071.799999999988</v>
      </c>
      <c r="S65" s="45">
        <v>1882807.3900000004</v>
      </c>
      <c r="T65" s="45">
        <v>77240.56</v>
      </c>
      <c r="U65" s="45">
        <v>23599.65</v>
      </c>
      <c r="V65" s="45">
        <v>39352.28</v>
      </c>
      <c r="W65" s="45">
        <v>1237400.3400000001</v>
      </c>
      <c r="X65" s="45">
        <v>458536.0199999999</v>
      </c>
      <c r="AA65" s="45">
        <v>39164.629999999997</v>
      </c>
      <c r="AB65" s="45">
        <v>1106851.0999999999</v>
      </c>
      <c r="AC65" s="45">
        <v>2754200</v>
      </c>
      <c r="AD65" s="45">
        <v>564996.65999999992</v>
      </c>
      <c r="AG65" s="45">
        <v>583713.73999999987</v>
      </c>
      <c r="AH65" s="45">
        <v>10621.28</v>
      </c>
      <c r="AI65" s="45">
        <v>144486.01999999999</v>
      </c>
      <c r="AJ65" s="45">
        <v>334026.92</v>
      </c>
      <c r="AK65" s="45">
        <v>316371.59999999998</v>
      </c>
      <c r="AL65" s="45">
        <v>20312</v>
      </c>
      <c r="AM65" s="45">
        <v>20939.75</v>
      </c>
      <c r="AN65" s="45">
        <v>17099.5</v>
      </c>
      <c r="AO65" s="45">
        <v>15061.21</v>
      </c>
      <c r="AQ65" s="45">
        <v>58743.98</v>
      </c>
      <c r="AR65" s="45">
        <v>52440.95</v>
      </c>
      <c r="AS65" s="45">
        <v>20586</v>
      </c>
      <c r="AT65" s="45">
        <v>309489.27</v>
      </c>
      <c r="AV65" s="45">
        <v>49890.35</v>
      </c>
      <c r="AW65" s="45">
        <v>100769.93999999997</v>
      </c>
      <c r="AX65" s="45">
        <v>294.08999999999997</v>
      </c>
      <c r="AY65" s="45">
        <v>1543511.11</v>
      </c>
      <c r="AZ65" s="45">
        <v>558291.92000000004</v>
      </c>
      <c r="BA65" s="45">
        <v>60000</v>
      </c>
      <c r="BB65" s="45">
        <v>116541.00000000001</v>
      </c>
      <c r="BE65" s="2">
        <f t="shared" si="2"/>
        <v>30948785.40000001</v>
      </c>
      <c r="BG65" s="341"/>
      <c r="BH65" s="341">
        <v>1282.6500000000001</v>
      </c>
      <c r="BI65" s="341">
        <v>1102524.3400000001</v>
      </c>
      <c r="BJ65" s="341"/>
      <c r="BK65" s="341"/>
      <c r="BL65" s="341">
        <v>2171.87</v>
      </c>
      <c r="BM65" s="341">
        <v>55014.879999999997</v>
      </c>
      <c r="BN65" s="341">
        <v>28711.25</v>
      </c>
      <c r="BO65" s="341">
        <v>2770733.24</v>
      </c>
      <c r="BP65" s="341">
        <v>2060.9700000000003</v>
      </c>
      <c r="BQ65" s="341"/>
      <c r="BR65" s="341"/>
      <c r="BS65" s="341">
        <v>231825</v>
      </c>
      <c r="BT65" s="341"/>
      <c r="BU65" s="341">
        <v>5014.82</v>
      </c>
      <c r="BV65" s="341">
        <v>4942.5200000000004</v>
      </c>
      <c r="BW65" s="341"/>
      <c r="BX65" s="341"/>
      <c r="BY65" s="341">
        <v>80453.540000000008</v>
      </c>
      <c r="BZ65" s="341"/>
      <c r="CA65" s="341"/>
      <c r="CB65" s="347"/>
      <c r="CC65" s="341"/>
      <c r="CD65" s="341"/>
      <c r="CE65" s="341">
        <v>684587.78</v>
      </c>
      <c r="CF65" s="341">
        <v>1076.5</v>
      </c>
      <c r="CG65" s="341"/>
      <c r="CH65" s="341">
        <v>1586851.8499999999</v>
      </c>
      <c r="CI65" s="341">
        <v>327750.17000000004</v>
      </c>
      <c r="CJ65" s="341">
        <v>5321.36</v>
      </c>
      <c r="CK65" s="341"/>
      <c r="CL65" s="341"/>
      <c r="CM65" s="341"/>
      <c r="CN65" s="341"/>
      <c r="CO65" s="341"/>
      <c r="CP65" s="347">
        <v>29627</v>
      </c>
      <c r="CQ65" s="341"/>
      <c r="CR65" s="342">
        <f t="shared" si="1"/>
        <v>5758956</v>
      </c>
    </row>
    <row r="66" spans="1:96" x14ac:dyDescent="0.25">
      <c r="A66" s="45" t="s">
        <v>394</v>
      </c>
      <c r="B66" s="45">
        <v>-51184.710000000006</v>
      </c>
      <c r="C66" s="45">
        <v>-3763.38</v>
      </c>
      <c r="D66" s="45">
        <v>141459</v>
      </c>
      <c r="E66" s="45">
        <v>19015.120000000003</v>
      </c>
      <c r="G66" s="45">
        <v>116386.69999999998</v>
      </c>
      <c r="H66" s="45">
        <v>2966384.9999999995</v>
      </c>
      <c r="I66" s="45">
        <v>55</v>
      </c>
      <c r="J66" s="45">
        <v>335340.57999999996</v>
      </c>
      <c r="K66" s="45">
        <v>880559.91999999981</v>
      </c>
      <c r="L66" s="45">
        <v>1525692.7999999998</v>
      </c>
      <c r="M66" s="45">
        <v>331052.86</v>
      </c>
      <c r="N66" s="45">
        <v>27815.26</v>
      </c>
      <c r="O66" s="45">
        <v>617267.80999999994</v>
      </c>
      <c r="P66" s="45">
        <v>2647.14</v>
      </c>
      <c r="Q66" s="45">
        <v>23857.350000000002</v>
      </c>
      <c r="R66" s="45">
        <v>31406.690000000006</v>
      </c>
      <c r="S66" s="45">
        <v>492428.98</v>
      </c>
      <c r="T66" s="45">
        <v>12716.589999999998</v>
      </c>
      <c r="U66" s="45">
        <v>4709.17</v>
      </c>
      <c r="V66" s="45">
        <v>3738.02</v>
      </c>
      <c r="W66" s="45">
        <v>1014725.4699999997</v>
      </c>
      <c r="X66" s="45">
        <v>65873.42</v>
      </c>
      <c r="AA66" s="45">
        <v>17404.78</v>
      </c>
      <c r="AB66" s="45">
        <v>384705.61999999994</v>
      </c>
      <c r="AC66" s="45">
        <v>707499.99999999977</v>
      </c>
      <c r="AD66" s="45">
        <v>145136.57</v>
      </c>
      <c r="AE66" s="45">
        <v>1699.11</v>
      </c>
      <c r="AG66" s="45">
        <v>309742.48</v>
      </c>
      <c r="AH66" s="45">
        <v>5434.14</v>
      </c>
      <c r="AI66" s="45">
        <v>72603.340000000011</v>
      </c>
      <c r="AJ66" s="45">
        <v>86060.359999999986</v>
      </c>
      <c r="AK66" s="45">
        <v>85443.43</v>
      </c>
      <c r="AL66" s="45">
        <v>5002</v>
      </c>
      <c r="AM66" s="45">
        <v>8835</v>
      </c>
      <c r="AN66" s="45">
        <v>10774.290000000003</v>
      </c>
      <c r="AO66" s="45">
        <v>3730.41</v>
      </c>
      <c r="AR66" s="45">
        <v>15583.51</v>
      </c>
      <c r="AS66" s="45">
        <v>4092.8</v>
      </c>
      <c r="AT66" s="45">
        <v>11833.68</v>
      </c>
      <c r="AV66" s="45">
        <v>13759.3</v>
      </c>
      <c r="AW66" s="45">
        <v>9766.4900000000016</v>
      </c>
      <c r="AX66" s="45">
        <v>1176.3599999999999</v>
      </c>
      <c r="AY66" s="45">
        <v>824636.23</v>
      </c>
      <c r="AZ66" s="45">
        <v>242004.21000000002</v>
      </c>
      <c r="BA66" s="45">
        <v>146649</v>
      </c>
      <c r="BE66" s="2">
        <f t="shared" si="2"/>
        <v>11671757.899999997</v>
      </c>
      <c r="BG66" s="341"/>
      <c r="BH66" s="341">
        <v>641.33000000000004</v>
      </c>
      <c r="BI66" s="341">
        <v>472263.09999999992</v>
      </c>
      <c r="BJ66" s="341"/>
      <c r="BK66" s="341"/>
      <c r="BL66" s="341"/>
      <c r="BM66" s="341">
        <v>30227.96</v>
      </c>
      <c r="BN66" s="341"/>
      <c r="BO66" s="341">
        <v>779462.49000000011</v>
      </c>
      <c r="BP66" s="341">
        <v>1164.5300000000002</v>
      </c>
      <c r="BQ66" s="341"/>
      <c r="BR66" s="341">
        <v>90000</v>
      </c>
      <c r="BS66" s="341">
        <v>59400</v>
      </c>
      <c r="BT66" s="341"/>
      <c r="BU66" s="341"/>
      <c r="BV66" s="341">
        <v>2475</v>
      </c>
      <c r="BW66" s="341"/>
      <c r="BX66" s="341"/>
      <c r="BY66" s="341">
        <v>56987.92</v>
      </c>
      <c r="BZ66" s="341"/>
      <c r="CA66" s="341"/>
      <c r="CB66" s="347"/>
      <c r="CC66" s="341"/>
      <c r="CD66" s="341"/>
      <c r="CE66" s="341">
        <v>38478</v>
      </c>
      <c r="CF66" s="341">
        <v>1076.5</v>
      </c>
      <c r="CG66" s="341"/>
      <c r="CH66" s="341">
        <v>507993.03999999986</v>
      </c>
      <c r="CI66" s="341"/>
      <c r="CJ66" s="341"/>
      <c r="CK66" s="341"/>
      <c r="CL66" s="341"/>
      <c r="CM66" s="341">
        <v>10825.92</v>
      </c>
      <c r="CN66" s="341"/>
      <c r="CO66" s="341"/>
      <c r="CP66" s="347">
        <v>11668</v>
      </c>
      <c r="CQ66" s="341"/>
      <c r="CR66" s="342">
        <f t="shared" si="1"/>
        <v>1559531.4</v>
      </c>
    </row>
    <row r="67" spans="1:96" x14ac:dyDescent="0.25">
      <c r="A67" s="45" t="s">
        <v>395</v>
      </c>
      <c r="B67" s="45">
        <v>-88067.16</v>
      </c>
      <c r="C67" s="45">
        <v>-8333.84</v>
      </c>
      <c r="D67" s="45">
        <v>141459</v>
      </c>
      <c r="E67" s="45">
        <v>26083.380000000005</v>
      </c>
      <c r="G67" s="45">
        <v>116386.69999999998</v>
      </c>
      <c r="H67" s="45">
        <v>4140917</v>
      </c>
      <c r="J67" s="45">
        <v>444382.03</v>
      </c>
      <c r="K67" s="45">
        <v>1261723.6900000002</v>
      </c>
      <c r="L67" s="45">
        <v>2352817.42</v>
      </c>
      <c r="M67" s="45">
        <v>834874.04000000015</v>
      </c>
      <c r="N67" s="45">
        <v>84723.49</v>
      </c>
      <c r="O67" s="45">
        <v>701255.79999999981</v>
      </c>
      <c r="P67" s="45">
        <v>12008.210000000001</v>
      </c>
      <c r="Q67" s="45">
        <v>7410.08</v>
      </c>
      <c r="R67" s="45">
        <v>98612.260000000009</v>
      </c>
      <c r="S67" s="45">
        <v>504599.37000000005</v>
      </c>
      <c r="T67" s="45">
        <v>31460.329999999998</v>
      </c>
      <c r="U67" s="45">
        <v>43292.229999999996</v>
      </c>
      <c r="V67" s="45">
        <v>9992.7999999999993</v>
      </c>
      <c r="W67" s="45">
        <v>1146930.71</v>
      </c>
      <c r="X67" s="45">
        <v>116301.35000000002</v>
      </c>
      <c r="AA67" s="45">
        <v>20108.02</v>
      </c>
      <c r="AB67" s="45">
        <v>475302.93999999994</v>
      </c>
      <c r="AC67" s="45">
        <v>847456.00000000012</v>
      </c>
      <c r="AD67" s="45">
        <v>173847.14999999997</v>
      </c>
      <c r="AG67" s="45">
        <v>418485.03999999992</v>
      </c>
      <c r="AH67" s="45">
        <v>2223.06</v>
      </c>
      <c r="AI67" s="45">
        <v>71880.499999999985</v>
      </c>
      <c r="AJ67" s="45">
        <v>116359.12000000001</v>
      </c>
      <c r="AK67" s="45">
        <v>50603.39</v>
      </c>
      <c r="AL67" s="45">
        <v>6615.75</v>
      </c>
      <c r="AM67" s="45">
        <v>8189.75</v>
      </c>
      <c r="AN67" s="45">
        <v>28854.959999999999</v>
      </c>
      <c r="AO67" s="45">
        <v>5220.1499999999996</v>
      </c>
      <c r="AR67" s="45">
        <v>48150</v>
      </c>
      <c r="AS67" s="45">
        <v>6832</v>
      </c>
      <c r="AT67" s="45">
        <v>57533.609999999993</v>
      </c>
      <c r="AV67" s="45">
        <v>10626.55</v>
      </c>
      <c r="AW67" s="45">
        <v>39276.44</v>
      </c>
      <c r="AX67" s="45">
        <v>882.27</v>
      </c>
      <c r="AY67" s="45">
        <v>1052667.27</v>
      </c>
      <c r="AZ67" s="45">
        <v>244207.96000000002</v>
      </c>
      <c r="BA67" s="45">
        <v>70000</v>
      </c>
      <c r="BE67" s="2">
        <f t="shared" si="2"/>
        <v>15734150.820000002</v>
      </c>
      <c r="BG67" s="341"/>
      <c r="BH67" s="341">
        <v>641.33000000000004</v>
      </c>
      <c r="BI67" s="341">
        <v>445982.02</v>
      </c>
      <c r="BJ67" s="341"/>
      <c r="BK67" s="341"/>
      <c r="BL67" s="341"/>
      <c r="BM67" s="341">
        <v>35064.43</v>
      </c>
      <c r="BN67" s="341">
        <v>6229.86</v>
      </c>
      <c r="BO67" s="341">
        <v>1019139.6400000001</v>
      </c>
      <c r="BP67" s="341">
        <v>731.27</v>
      </c>
      <c r="BQ67" s="341"/>
      <c r="BR67" s="341"/>
      <c r="BS67" s="341">
        <v>70400</v>
      </c>
      <c r="BT67" s="341"/>
      <c r="BU67" s="341"/>
      <c r="BV67" s="341"/>
      <c r="BW67" s="341"/>
      <c r="BX67" s="341"/>
      <c r="BY67" s="341">
        <v>48607.35</v>
      </c>
      <c r="BZ67" s="341"/>
      <c r="CA67" s="341"/>
      <c r="CB67" s="347"/>
      <c r="CC67" s="341"/>
      <c r="CD67" s="341"/>
      <c r="CE67" s="341">
        <v>91385.26</v>
      </c>
      <c r="CF67" s="341">
        <v>1076.5</v>
      </c>
      <c r="CG67" s="341"/>
      <c r="CH67" s="341">
        <v>445320.74</v>
      </c>
      <c r="CI67" s="341"/>
      <c r="CJ67" s="341"/>
      <c r="CK67" s="341"/>
      <c r="CL67" s="341"/>
      <c r="CM67" s="341"/>
      <c r="CN67" s="341"/>
      <c r="CO67" s="341"/>
      <c r="CP67" s="347">
        <v>16507</v>
      </c>
      <c r="CQ67" s="341"/>
      <c r="CR67" s="342">
        <f t="shared" si="1"/>
        <v>1699397.62</v>
      </c>
    </row>
    <row r="68" spans="1:96" x14ac:dyDescent="0.25">
      <c r="A68" s="45" t="s">
        <v>396</v>
      </c>
      <c r="B68" s="45">
        <v>-88556.61</v>
      </c>
      <c r="C68" s="45">
        <v>-9877.42</v>
      </c>
      <c r="D68" s="45">
        <v>330071</v>
      </c>
      <c r="E68" s="45">
        <v>49353.97</v>
      </c>
      <c r="G68" s="45">
        <v>203676.72999999998</v>
      </c>
      <c r="H68" s="45">
        <v>6978913</v>
      </c>
      <c r="I68" s="45">
        <v>110</v>
      </c>
      <c r="J68" s="45">
        <v>712793.35999999987</v>
      </c>
      <c r="K68" s="45">
        <v>2441558.27</v>
      </c>
      <c r="L68" s="45">
        <v>3769904.9199999995</v>
      </c>
      <c r="M68" s="45">
        <v>1289312.1199999999</v>
      </c>
      <c r="N68" s="45">
        <v>52499.09</v>
      </c>
      <c r="O68" s="45">
        <v>949947.50999999989</v>
      </c>
      <c r="P68" s="45">
        <v>20161.52</v>
      </c>
      <c r="Q68" s="45">
        <v>53488.28</v>
      </c>
      <c r="R68" s="45">
        <v>187892.42</v>
      </c>
      <c r="S68" s="45">
        <v>759824.91999999993</v>
      </c>
      <c r="T68" s="45">
        <v>78631.73000000001</v>
      </c>
      <c r="U68" s="45">
        <v>29531.86</v>
      </c>
      <c r="V68" s="45">
        <v>20287.419999999998</v>
      </c>
      <c r="W68" s="45">
        <v>1881579.55</v>
      </c>
      <c r="X68" s="45">
        <v>356882.28</v>
      </c>
      <c r="AA68" s="45">
        <v>28410.29</v>
      </c>
      <c r="AB68" s="45">
        <v>907206.15000000014</v>
      </c>
      <c r="AC68" s="45">
        <v>1541777.9999999995</v>
      </c>
      <c r="AD68" s="45">
        <v>316280.36999999994</v>
      </c>
      <c r="AG68" s="45">
        <v>727847.06</v>
      </c>
      <c r="AH68" s="45">
        <v>10621.28</v>
      </c>
      <c r="AI68" s="45">
        <v>229633.28000000003</v>
      </c>
      <c r="AJ68" s="45">
        <v>208655.42</v>
      </c>
      <c r="AK68" s="45">
        <v>229421.14999999997</v>
      </c>
      <c r="AL68" s="45">
        <v>10695</v>
      </c>
      <c r="AM68" s="45">
        <v>16610</v>
      </c>
      <c r="AN68" s="45">
        <v>32391.519999999997</v>
      </c>
      <c r="AO68" s="45">
        <v>8810.31</v>
      </c>
      <c r="AR68" s="45">
        <v>37518.980000000003</v>
      </c>
      <c r="AS68" s="45">
        <v>10920</v>
      </c>
      <c r="AT68" s="45">
        <v>102480.22999999998</v>
      </c>
      <c r="AV68" s="45">
        <v>69497.45</v>
      </c>
      <c r="AW68" s="45">
        <v>50520.700000000012</v>
      </c>
      <c r="AY68" s="45">
        <v>1935020.3099999998</v>
      </c>
      <c r="AZ68" s="45">
        <v>488415.92000000004</v>
      </c>
      <c r="BA68" s="45">
        <v>312470</v>
      </c>
      <c r="BE68" s="2">
        <f t="shared" si="2"/>
        <v>27343189.34</v>
      </c>
      <c r="BG68" s="341"/>
      <c r="BH68" s="341">
        <v>1923.98</v>
      </c>
      <c r="BI68" s="341">
        <v>665268.05000000005</v>
      </c>
      <c r="BJ68" s="341"/>
      <c r="BK68" s="341"/>
      <c r="BL68" s="341">
        <v>1819.37</v>
      </c>
      <c r="BM68" s="341">
        <v>38087.22</v>
      </c>
      <c r="BN68" s="341">
        <v>2283.87</v>
      </c>
      <c r="BO68" s="341">
        <v>2085935.97</v>
      </c>
      <c r="BP68" s="341">
        <v>2555.3199999999997</v>
      </c>
      <c r="BQ68" s="341"/>
      <c r="BR68" s="341">
        <v>340000</v>
      </c>
      <c r="BS68" s="341">
        <v>123475</v>
      </c>
      <c r="BT68" s="341"/>
      <c r="BU68" s="341"/>
      <c r="BV68" s="341"/>
      <c r="BW68" s="341"/>
      <c r="BX68" s="341">
        <v>33161</v>
      </c>
      <c r="BY68" s="341">
        <v>97214.69</v>
      </c>
      <c r="BZ68" s="341"/>
      <c r="CA68" s="341"/>
      <c r="CB68" s="347"/>
      <c r="CC68" s="341"/>
      <c r="CD68" s="341"/>
      <c r="CE68" s="341">
        <v>160325.00000000003</v>
      </c>
      <c r="CF68" s="341">
        <v>1076.5</v>
      </c>
      <c r="CG68" s="341"/>
      <c r="CH68" s="341">
        <v>859138.29999999993</v>
      </c>
      <c r="CI68" s="341"/>
      <c r="CJ68" s="341"/>
      <c r="CK68" s="341"/>
      <c r="CL68" s="341"/>
      <c r="CM68" s="341">
        <v>15036</v>
      </c>
      <c r="CN68" s="341"/>
      <c r="CO68" s="341">
        <v>400000</v>
      </c>
      <c r="CP68" s="347">
        <v>27584</v>
      </c>
      <c r="CQ68" s="341"/>
      <c r="CR68" s="342">
        <f t="shared" si="1"/>
        <v>4147785.65</v>
      </c>
    </row>
    <row r="69" spans="1:96" x14ac:dyDescent="0.25">
      <c r="A69" s="45" t="s">
        <v>397</v>
      </c>
      <c r="B69" s="45">
        <v>-222179.75999999995</v>
      </c>
      <c r="C69" s="45">
        <v>-36978.949999999997</v>
      </c>
      <c r="D69" s="45">
        <v>707295</v>
      </c>
      <c r="E69" s="45">
        <v>114839.25</v>
      </c>
      <c r="G69" s="45">
        <v>407353.46</v>
      </c>
      <c r="H69" s="45">
        <v>16645107</v>
      </c>
      <c r="I69" s="45">
        <v>422.5</v>
      </c>
      <c r="J69" s="45">
        <v>1825739.55</v>
      </c>
      <c r="K69" s="45">
        <v>5230440.0099999988</v>
      </c>
      <c r="L69" s="45">
        <v>9381638.0100000016</v>
      </c>
      <c r="M69" s="45">
        <v>3143626.18</v>
      </c>
      <c r="N69" s="45">
        <v>89264.82</v>
      </c>
      <c r="O69" s="45">
        <v>1817553.16</v>
      </c>
      <c r="P69" s="45">
        <v>47721.94000000001</v>
      </c>
      <c r="Q69" s="45">
        <v>125204.64</v>
      </c>
      <c r="R69" s="45">
        <v>109739.51999999999</v>
      </c>
      <c r="S69" s="45">
        <v>3492341.96</v>
      </c>
      <c r="T69" s="45">
        <v>83714.12999999999</v>
      </c>
      <c r="U69" s="45">
        <v>81060.97000000003</v>
      </c>
      <c r="V69" s="45">
        <v>88636.44</v>
      </c>
      <c r="W69" s="45">
        <v>5325726.8000000007</v>
      </c>
      <c r="X69" s="45">
        <v>679522.75</v>
      </c>
      <c r="Y69" s="45">
        <v>95813.98</v>
      </c>
      <c r="Z69" s="45">
        <v>4000</v>
      </c>
      <c r="AA69" s="45">
        <v>55001.36</v>
      </c>
      <c r="AB69" s="45">
        <v>1634822.2999999998</v>
      </c>
      <c r="AC69" s="45">
        <v>3508355</v>
      </c>
      <c r="AD69" s="45">
        <v>719704.03999999992</v>
      </c>
      <c r="AG69" s="45">
        <v>1299733.4400000002</v>
      </c>
      <c r="AH69" s="45">
        <v>16549.439999999999</v>
      </c>
      <c r="AI69" s="45">
        <v>226068.93000000002</v>
      </c>
      <c r="AJ69" s="45">
        <v>507081.14999999991</v>
      </c>
      <c r="AK69" s="45">
        <v>485652</v>
      </c>
      <c r="AL69" s="45">
        <v>33035.75</v>
      </c>
      <c r="AM69" s="45">
        <v>42980.25</v>
      </c>
      <c r="AN69" s="45">
        <v>50951.11</v>
      </c>
      <c r="AO69" s="45">
        <v>23881.38</v>
      </c>
      <c r="AQ69" s="45">
        <v>199301.01</v>
      </c>
      <c r="AR69" s="45">
        <v>78309.61</v>
      </c>
      <c r="AS69" s="45">
        <v>2800</v>
      </c>
      <c r="AT69" s="45">
        <v>846078.26</v>
      </c>
      <c r="AV69" s="45">
        <v>91869.2</v>
      </c>
      <c r="AW69" s="45">
        <v>187100.02999999997</v>
      </c>
      <c r="AX69" s="45">
        <v>294.08999999999997</v>
      </c>
      <c r="AY69" s="45">
        <v>3253016.6000000006</v>
      </c>
      <c r="AZ69" s="45">
        <v>824201.87000000011</v>
      </c>
      <c r="BA69" s="45">
        <v>161460</v>
      </c>
      <c r="BC69" s="45">
        <v>45454.54</v>
      </c>
      <c r="BD69" s="45">
        <v>6818.18</v>
      </c>
      <c r="BE69" s="2">
        <f t="shared" si="2"/>
        <v>63538122.899999984</v>
      </c>
      <c r="BG69" s="341">
        <v>1723.08</v>
      </c>
      <c r="BH69" s="341">
        <v>2565.31</v>
      </c>
      <c r="BI69" s="341">
        <v>1123542.28</v>
      </c>
      <c r="BJ69" s="341"/>
      <c r="BK69" s="341">
        <v>552</v>
      </c>
      <c r="BL69" s="341">
        <v>2976.9</v>
      </c>
      <c r="BM69" s="341">
        <v>61665.03</v>
      </c>
      <c r="BN69" s="341">
        <v>23683.47</v>
      </c>
      <c r="BO69" s="341">
        <v>3505341.11</v>
      </c>
      <c r="BP69" s="341">
        <v>2355.9499999999998</v>
      </c>
      <c r="BQ69" s="341"/>
      <c r="BR69" s="341"/>
      <c r="BS69" s="341">
        <v>296725</v>
      </c>
      <c r="BT69" s="341">
        <v>50000</v>
      </c>
      <c r="BU69" s="341">
        <v>3754.8500000000004</v>
      </c>
      <c r="BV69" s="341">
        <v>5000</v>
      </c>
      <c r="BW69" s="341"/>
      <c r="BX69" s="341"/>
      <c r="BY69" s="341">
        <v>93862.459999999992</v>
      </c>
      <c r="BZ69" s="341"/>
      <c r="CA69" s="341"/>
      <c r="CB69" s="347"/>
      <c r="CC69" s="341"/>
      <c r="CD69" s="341"/>
      <c r="CE69" s="341">
        <v>935622.63</v>
      </c>
      <c r="CF69" s="341">
        <v>1076.5</v>
      </c>
      <c r="CG69" s="341">
        <v>584373.62999999989</v>
      </c>
      <c r="CH69" s="341"/>
      <c r="CI69" s="341">
        <v>466553.74000000005</v>
      </c>
      <c r="CJ69" s="341">
        <v>8776.7799999999988</v>
      </c>
      <c r="CK69" s="341"/>
      <c r="CL69" s="341"/>
      <c r="CM69" s="341"/>
      <c r="CN69" s="341"/>
      <c r="CO69" s="341"/>
      <c r="CP69" s="347">
        <v>66332</v>
      </c>
      <c r="CQ69" s="341"/>
      <c r="CR69" s="342">
        <f t="shared" si="1"/>
        <v>6043458.120000001</v>
      </c>
    </row>
    <row r="70" spans="1:96" x14ac:dyDescent="0.25">
      <c r="A70" s="45" t="s">
        <v>398</v>
      </c>
      <c r="B70" s="45">
        <v>-142396.84999999998</v>
      </c>
      <c r="C70" s="45">
        <v>-30755.3</v>
      </c>
      <c r="D70" s="45">
        <v>990213</v>
      </c>
      <c r="E70" s="45">
        <v>181097.06999999998</v>
      </c>
      <c r="G70" s="45">
        <v>843803.60000000009</v>
      </c>
      <c r="H70" s="45">
        <v>23395738</v>
      </c>
      <c r="I70" s="45">
        <v>165</v>
      </c>
      <c r="J70" s="45">
        <v>2753618.9099999997</v>
      </c>
      <c r="K70" s="45">
        <v>7871152.5299999993</v>
      </c>
      <c r="L70" s="45">
        <v>12675853.909999998</v>
      </c>
      <c r="M70" s="45">
        <v>3243851.73</v>
      </c>
      <c r="N70" s="45">
        <v>257584.12999999998</v>
      </c>
      <c r="O70" s="45">
        <v>2984808.5300000003</v>
      </c>
      <c r="P70" s="45">
        <v>20968.060000000001</v>
      </c>
      <c r="Q70" s="45">
        <v>280388.32</v>
      </c>
      <c r="R70" s="45">
        <v>207582.11999999997</v>
      </c>
      <c r="S70" s="45">
        <v>4340469.6000000006</v>
      </c>
      <c r="T70" s="45">
        <v>175105.39999999997</v>
      </c>
      <c r="U70" s="45">
        <v>77101.459999999992</v>
      </c>
      <c r="V70" s="45">
        <v>116824.37000000001</v>
      </c>
      <c r="W70" s="45">
        <v>6687793.4800000014</v>
      </c>
      <c r="X70" s="45">
        <v>1378793.14</v>
      </c>
      <c r="Z70" s="45">
        <v>50600</v>
      </c>
      <c r="AA70" s="45">
        <v>78735.09</v>
      </c>
      <c r="AB70" s="45">
        <v>2944001.02</v>
      </c>
      <c r="AC70" s="45">
        <v>6683908</v>
      </c>
      <c r="AD70" s="45">
        <v>1371137.0599999998</v>
      </c>
      <c r="AG70" s="45">
        <v>2144135.39</v>
      </c>
      <c r="AH70" s="45">
        <v>47178.239999999998</v>
      </c>
      <c r="AI70" s="45">
        <v>469948.27999999997</v>
      </c>
      <c r="AJ70" s="45">
        <v>767638.92</v>
      </c>
      <c r="AK70" s="45">
        <v>478021.32999999996</v>
      </c>
      <c r="AL70" s="45">
        <v>40892.75</v>
      </c>
      <c r="AM70" s="45">
        <v>69005</v>
      </c>
      <c r="AN70" s="45">
        <v>45526.419999999991</v>
      </c>
      <c r="AO70" s="45">
        <v>32205.49</v>
      </c>
      <c r="AQ70" s="45">
        <v>64625.93</v>
      </c>
      <c r="AR70" s="45">
        <v>67855</v>
      </c>
      <c r="AS70" s="45">
        <v>38375</v>
      </c>
      <c r="AT70" s="45">
        <v>944070.74</v>
      </c>
      <c r="AU70" s="45">
        <v>96390</v>
      </c>
      <c r="AV70" s="45">
        <v>105021.75</v>
      </c>
      <c r="AW70" s="45">
        <v>259813.71999999997</v>
      </c>
      <c r="AX70" s="45">
        <v>5881.79</v>
      </c>
      <c r="AY70" s="45">
        <v>5622078.5000000009</v>
      </c>
      <c r="AZ70" s="45">
        <v>1770507.71</v>
      </c>
      <c r="BA70" s="45">
        <v>238866</v>
      </c>
      <c r="BE70" s="2">
        <f t="shared" ref="BE70:BE86" si="3">SUM(B70:BD70)</f>
        <v>92746179.339999989</v>
      </c>
      <c r="BG70" s="341"/>
      <c r="BH70" s="341">
        <v>5771.94</v>
      </c>
      <c r="BI70" s="341">
        <v>1582778.8300000003</v>
      </c>
      <c r="BJ70" s="341"/>
      <c r="BK70" s="341"/>
      <c r="BL70" s="341">
        <v>5889.84</v>
      </c>
      <c r="BM70" s="341">
        <v>98543.14</v>
      </c>
      <c r="BN70" s="341">
        <v>43657.54</v>
      </c>
      <c r="BO70" s="341">
        <v>8420800.3000000026</v>
      </c>
      <c r="BP70" s="341">
        <v>5640.7199999999993</v>
      </c>
      <c r="BQ70" s="341"/>
      <c r="BR70" s="341">
        <v>935000</v>
      </c>
      <c r="BS70" s="341">
        <v>563475</v>
      </c>
      <c r="BT70" s="341"/>
      <c r="BU70" s="341">
        <v>8979.85</v>
      </c>
      <c r="BV70" s="341"/>
      <c r="BW70" s="341"/>
      <c r="BX70" s="341">
        <v>33161</v>
      </c>
      <c r="BY70" s="341">
        <v>355336.45999999996</v>
      </c>
      <c r="BZ70" s="341"/>
      <c r="CA70" s="341"/>
      <c r="CB70" s="347"/>
      <c r="CC70" s="341"/>
      <c r="CD70" s="341"/>
      <c r="CE70" s="341">
        <v>2021698.2600000002</v>
      </c>
      <c r="CF70" s="341">
        <v>1076.5</v>
      </c>
      <c r="CG70" s="341"/>
      <c r="CH70" s="341">
        <v>1858788.15</v>
      </c>
      <c r="CI70" s="341">
        <v>704624.04999999993</v>
      </c>
      <c r="CJ70" s="341">
        <v>6380.44</v>
      </c>
      <c r="CK70" s="341"/>
      <c r="CL70" s="341"/>
      <c r="CM70" s="341">
        <v>67034.51999999999</v>
      </c>
      <c r="CN70" s="341"/>
      <c r="CO70" s="341">
        <v>1000000</v>
      </c>
      <c r="CP70" s="347">
        <v>92981</v>
      </c>
      <c r="CQ70" s="341"/>
      <c r="CR70" s="342">
        <f t="shared" ref="CR70:CR86" si="4">SUM(BN70:CP70)</f>
        <v>16118633.790000001</v>
      </c>
    </row>
    <row r="71" spans="1:96" x14ac:dyDescent="0.25">
      <c r="A71" s="45" t="s">
        <v>399</v>
      </c>
      <c r="B71" s="45">
        <v>-150570.4</v>
      </c>
      <c r="C71" s="45">
        <v>-30680.959999999999</v>
      </c>
      <c r="D71" s="45">
        <v>1273131</v>
      </c>
      <c r="E71" s="45">
        <v>191660.66000000003</v>
      </c>
      <c r="G71" s="45">
        <v>581933.52</v>
      </c>
      <c r="H71" s="45">
        <v>34869020</v>
      </c>
      <c r="I71" s="45">
        <v>750</v>
      </c>
      <c r="J71" s="45">
        <v>3500930.9099999997</v>
      </c>
      <c r="K71" s="45">
        <v>10974816.170000002</v>
      </c>
      <c r="L71" s="45">
        <v>20071443.630000003</v>
      </c>
      <c r="M71" s="45">
        <v>6443904.0800000001</v>
      </c>
      <c r="N71" s="45">
        <v>283013.88</v>
      </c>
      <c r="O71" s="45">
        <v>3133296.459999999</v>
      </c>
      <c r="P71" s="45">
        <v>22750.379999999997</v>
      </c>
      <c r="Q71" s="45">
        <v>528597.03</v>
      </c>
      <c r="R71" s="45">
        <v>221435.62999999998</v>
      </c>
      <c r="S71" s="45">
        <v>6510111.6499999994</v>
      </c>
      <c r="T71" s="45">
        <v>288852.66000000003</v>
      </c>
      <c r="U71" s="45">
        <v>164632.67000000004</v>
      </c>
      <c r="V71" s="45">
        <v>62996.240000000005</v>
      </c>
      <c r="W71" s="45">
        <v>11848338.970000001</v>
      </c>
      <c r="X71" s="45">
        <v>3094426.89</v>
      </c>
      <c r="Z71" s="45">
        <v>50300.000000000007</v>
      </c>
      <c r="AA71" s="45">
        <v>87093.22</v>
      </c>
      <c r="AB71" s="45">
        <v>2608271.12</v>
      </c>
      <c r="AC71" s="45">
        <v>6882163</v>
      </c>
      <c r="AD71" s="45">
        <v>1411807.1</v>
      </c>
      <c r="AE71" s="45">
        <v>19072.39</v>
      </c>
      <c r="AG71" s="45">
        <v>2827344.5300000003</v>
      </c>
      <c r="AH71" s="45">
        <v>30628.81</v>
      </c>
      <c r="AI71" s="45">
        <v>392189.22000000003</v>
      </c>
      <c r="AJ71" s="45">
        <v>880257.88999999978</v>
      </c>
      <c r="AK71" s="45">
        <v>642181.1399999999</v>
      </c>
      <c r="AL71" s="45">
        <v>59448.5</v>
      </c>
      <c r="AM71" s="45">
        <v>60413.75</v>
      </c>
      <c r="AN71" s="45">
        <v>64351.670000000006</v>
      </c>
      <c r="AO71" s="45">
        <v>42789.98</v>
      </c>
      <c r="AQ71" s="45">
        <v>98269.9</v>
      </c>
      <c r="AR71" s="45">
        <v>122249.74</v>
      </c>
      <c r="AS71" s="45">
        <v>59844</v>
      </c>
      <c r="AT71" s="45">
        <v>1278671.3900000004</v>
      </c>
      <c r="AU71" s="45">
        <v>95438</v>
      </c>
      <c r="AV71" s="45">
        <v>74116.95</v>
      </c>
      <c r="AW71" s="45">
        <v>563358.60000000009</v>
      </c>
      <c r="AX71" s="45">
        <v>5293.61</v>
      </c>
      <c r="AY71" s="45">
        <v>6272410.8500000015</v>
      </c>
      <c r="AZ71" s="45">
        <v>1060419.52</v>
      </c>
      <c r="BA71" s="45">
        <v>127400</v>
      </c>
      <c r="BB71" s="45">
        <v>253991.18</v>
      </c>
      <c r="BE71" s="2">
        <f t="shared" si="3"/>
        <v>129954567.12999998</v>
      </c>
      <c r="BG71" s="341">
        <v>13086.32</v>
      </c>
      <c r="BH71" s="341">
        <v>4489.29</v>
      </c>
      <c r="BI71" s="341">
        <v>1369627.32</v>
      </c>
      <c r="BJ71" s="341"/>
      <c r="BK71" s="341">
        <v>768</v>
      </c>
      <c r="BL71" s="341">
        <v>4676.83</v>
      </c>
      <c r="BM71" s="341">
        <v>69524.3</v>
      </c>
      <c r="BN71" s="341">
        <v>1217.8399999999999</v>
      </c>
      <c r="BO71" s="341">
        <v>7226048.3600000003</v>
      </c>
      <c r="BP71" s="341">
        <v>5264.79</v>
      </c>
      <c r="BQ71" s="341"/>
      <c r="BR71" s="341">
        <v>440000</v>
      </c>
      <c r="BS71" s="341">
        <v>558250</v>
      </c>
      <c r="BT71" s="341">
        <v>40000</v>
      </c>
      <c r="BU71" s="341"/>
      <c r="BV71" s="341"/>
      <c r="BW71" s="341"/>
      <c r="BX71" s="341"/>
      <c r="BY71" s="341">
        <v>231303.91999999998</v>
      </c>
      <c r="BZ71" s="341"/>
      <c r="CA71" s="341"/>
      <c r="CB71" s="347"/>
      <c r="CC71" s="341"/>
      <c r="CD71" s="341"/>
      <c r="CE71" s="341">
        <v>3594166</v>
      </c>
      <c r="CF71" s="341">
        <v>10765</v>
      </c>
      <c r="CG71" s="341">
        <v>793431.23999999987</v>
      </c>
      <c r="CH71" s="341"/>
      <c r="CI71" s="341">
        <v>373175.65</v>
      </c>
      <c r="CJ71" s="341">
        <v>60997.24</v>
      </c>
      <c r="CK71" s="341"/>
      <c r="CL71" s="341"/>
      <c r="CM71" s="341"/>
      <c r="CN71" s="341"/>
      <c r="CO71" s="341"/>
      <c r="CP71" s="347">
        <v>139514</v>
      </c>
      <c r="CQ71" s="341"/>
      <c r="CR71" s="342">
        <f t="shared" si="4"/>
        <v>13474134.040000001</v>
      </c>
    </row>
    <row r="72" spans="1:96" x14ac:dyDescent="0.25">
      <c r="A72" s="45" t="s">
        <v>400</v>
      </c>
      <c r="B72" s="45">
        <v>-41045.72</v>
      </c>
      <c r="C72" s="45">
        <v>-7771.86</v>
      </c>
      <c r="D72" s="45">
        <v>141459</v>
      </c>
      <c r="E72" s="45">
        <v>17849.490000000002</v>
      </c>
      <c r="G72" s="45">
        <v>87290.03</v>
      </c>
      <c r="H72" s="45">
        <v>2946288</v>
      </c>
      <c r="J72" s="45">
        <v>339393.82999999996</v>
      </c>
      <c r="K72" s="45">
        <v>939839.87000000011</v>
      </c>
      <c r="L72" s="45">
        <v>1413142.0799999998</v>
      </c>
      <c r="M72" s="45">
        <v>575637.19000000006</v>
      </c>
      <c r="N72" s="45">
        <v>40748.83</v>
      </c>
      <c r="O72" s="45">
        <v>314465.14</v>
      </c>
      <c r="P72" s="45">
        <v>3069.5299999999997</v>
      </c>
      <c r="Q72" s="45">
        <v>2367.12</v>
      </c>
      <c r="R72" s="45">
        <v>58047.109999999993</v>
      </c>
      <c r="S72" s="45">
        <v>802911.81</v>
      </c>
      <c r="T72" s="45">
        <v>46201.989999999991</v>
      </c>
      <c r="U72" s="45">
        <v>5133.5500000000011</v>
      </c>
      <c r="V72" s="45">
        <v>16299.53</v>
      </c>
      <c r="W72" s="45">
        <v>476961.09000000008</v>
      </c>
      <c r="X72" s="45">
        <v>97637.4</v>
      </c>
      <c r="AA72" s="45">
        <v>16645.189999999999</v>
      </c>
      <c r="AB72" s="45">
        <v>285062.80999999994</v>
      </c>
      <c r="AC72" s="45">
        <v>448087.99999999988</v>
      </c>
      <c r="AD72" s="45">
        <v>91920.78</v>
      </c>
      <c r="AG72" s="45">
        <v>256198.3</v>
      </c>
      <c r="AH72" s="45">
        <v>3211.08</v>
      </c>
      <c r="AI72" s="45">
        <v>32137.509999999995</v>
      </c>
      <c r="AJ72" s="45">
        <v>76234.99000000002</v>
      </c>
      <c r="AK72" s="45">
        <v>63756.260000000009</v>
      </c>
      <c r="AL72" s="45">
        <v>4405.5</v>
      </c>
      <c r="AM72" s="45">
        <v>5727.75</v>
      </c>
      <c r="AN72" s="45">
        <v>15140.990000000005</v>
      </c>
      <c r="AO72" s="45">
        <v>3117.9</v>
      </c>
      <c r="AR72" s="45">
        <v>9421.9500000000007</v>
      </c>
      <c r="AS72" s="45">
        <v>5488</v>
      </c>
      <c r="AT72" s="45">
        <v>85452.7</v>
      </c>
      <c r="AV72" s="45">
        <v>15430.1</v>
      </c>
      <c r="AW72" s="45">
        <v>259234.49</v>
      </c>
      <c r="AY72" s="45">
        <v>672195.94</v>
      </c>
      <c r="AZ72" s="45">
        <v>122103.98000000001</v>
      </c>
      <c r="BA72" s="45">
        <v>302497</v>
      </c>
      <c r="BE72" s="2">
        <f t="shared" si="3"/>
        <v>11049396.23</v>
      </c>
      <c r="BG72" s="341"/>
      <c r="BH72" s="341">
        <v>663.44</v>
      </c>
      <c r="BI72" s="341">
        <v>260525.52000000005</v>
      </c>
      <c r="BJ72" s="341"/>
      <c r="BK72" s="341"/>
      <c r="BL72" s="341"/>
      <c r="BM72" s="341">
        <v>12091.18</v>
      </c>
      <c r="BN72" s="341">
        <v>1259.24</v>
      </c>
      <c r="BO72" s="341">
        <v>560552.19000000006</v>
      </c>
      <c r="BP72" s="341">
        <v>548.67000000000007</v>
      </c>
      <c r="BQ72" s="341"/>
      <c r="BR72" s="341"/>
      <c r="BS72" s="341">
        <v>46750</v>
      </c>
      <c r="BT72" s="341">
        <v>20000</v>
      </c>
      <c r="BU72" s="341"/>
      <c r="BV72" s="341"/>
      <c r="BW72" s="341"/>
      <c r="BX72" s="341">
        <v>27039</v>
      </c>
      <c r="BY72" s="341">
        <v>48607.35</v>
      </c>
      <c r="BZ72" s="341"/>
      <c r="CA72" s="341"/>
      <c r="CB72" s="347"/>
      <c r="CC72" s="341"/>
      <c r="CD72" s="341"/>
      <c r="CE72" s="341">
        <v>48097.5</v>
      </c>
      <c r="CF72" s="341">
        <v>1076.5</v>
      </c>
      <c r="CG72" s="341"/>
      <c r="CH72" s="341">
        <v>351212.06999999995</v>
      </c>
      <c r="CI72" s="341">
        <v>95488.06</v>
      </c>
      <c r="CJ72" s="341">
        <v>45.48</v>
      </c>
      <c r="CK72" s="341"/>
      <c r="CL72" s="341"/>
      <c r="CM72" s="341">
        <v>12952.16</v>
      </c>
      <c r="CN72" s="341"/>
      <c r="CO72" s="341"/>
      <c r="CP72" s="347">
        <v>11460</v>
      </c>
      <c r="CQ72" s="341"/>
      <c r="CR72" s="342">
        <f t="shared" si="4"/>
        <v>1225088.22</v>
      </c>
    </row>
    <row r="73" spans="1:96" x14ac:dyDescent="0.25">
      <c r="A73" s="45" t="s">
        <v>401</v>
      </c>
      <c r="B73" s="45">
        <v>-52854.429999999993</v>
      </c>
      <c r="C73" s="45">
        <v>-9152.61</v>
      </c>
      <c r="D73" s="45">
        <v>235765.00000000003</v>
      </c>
      <c r="E73" s="45">
        <v>33735.050000000003</v>
      </c>
      <c r="G73" s="45">
        <v>174580.06</v>
      </c>
      <c r="H73" s="45">
        <v>5846020.0000000009</v>
      </c>
      <c r="I73" s="45">
        <v>311</v>
      </c>
      <c r="J73" s="45">
        <v>637032.74</v>
      </c>
      <c r="K73" s="45">
        <v>1794183.0999999999</v>
      </c>
      <c r="L73" s="45">
        <v>3448808.9899999993</v>
      </c>
      <c r="M73" s="45">
        <v>1540351.3600000003</v>
      </c>
      <c r="N73" s="45">
        <v>48161.23</v>
      </c>
      <c r="O73" s="45">
        <v>643023.34000000008</v>
      </c>
      <c r="P73" s="45">
        <v>315.28999999999996</v>
      </c>
      <c r="Q73" s="45">
        <v>29578.559999999998</v>
      </c>
      <c r="R73" s="45">
        <v>49520.94000000001</v>
      </c>
      <c r="S73" s="45">
        <v>968643.69</v>
      </c>
      <c r="T73" s="45">
        <v>45422.11</v>
      </c>
      <c r="U73" s="45">
        <v>15193.250000000004</v>
      </c>
      <c r="V73" s="45">
        <v>12020.599999999999</v>
      </c>
      <c r="W73" s="45">
        <v>1475952.4600000002</v>
      </c>
      <c r="X73" s="45">
        <v>281025.89</v>
      </c>
      <c r="Z73" s="45">
        <v>12600.000000000002</v>
      </c>
      <c r="AA73" s="45">
        <v>23703.55</v>
      </c>
      <c r="AB73" s="45">
        <v>486275.22999999986</v>
      </c>
      <c r="AC73" s="45">
        <v>1233086</v>
      </c>
      <c r="AD73" s="45">
        <v>252955.28999999998</v>
      </c>
      <c r="AG73" s="45">
        <v>448230.48</v>
      </c>
      <c r="AH73" s="45">
        <v>4940.13</v>
      </c>
      <c r="AI73" s="45">
        <v>69926.849999999991</v>
      </c>
      <c r="AJ73" s="45">
        <v>156965.33000000002</v>
      </c>
      <c r="AK73" s="45">
        <v>103516.07</v>
      </c>
      <c r="AL73" s="45">
        <v>10290</v>
      </c>
      <c r="AM73" s="45">
        <v>17514.25</v>
      </c>
      <c r="AN73" s="45">
        <v>44653.579999999994</v>
      </c>
      <c r="AO73" s="45">
        <v>7649.7</v>
      </c>
      <c r="AQ73" s="45">
        <v>8740.1</v>
      </c>
      <c r="AR73" s="45">
        <v>23910.61</v>
      </c>
      <c r="AS73" s="45">
        <v>10688</v>
      </c>
      <c r="AT73" s="45">
        <v>393467.77</v>
      </c>
      <c r="AV73" s="45">
        <v>10000</v>
      </c>
      <c r="AW73" s="45">
        <v>162199.28999999998</v>
      </c>
      <c r="AX73" s="45">
        <v>882.27</v>
      </c>
      <c r="AY73" s="45">
        <v>1099530.3</v>
      </c>
      <c r="AZ73" s="45">
        <v>366311.94</v>
      </c>
      <c r="BA73" s="45">
        <v>231753</v>
      </c>
      <c r="BE73" s="2">
        <f t="shared" si="3"/>
        <v>22397427.359999999</v>
      </c>
      <c r="BG73" s="341"/>
      <c r="BH73" s="341">
        <v>663.44</v>
      </c>
      <c r="BI73" s="341">
        <v>312325.92000000004</v>
      </c>
      <c r="BJ73" s="341"/>
      <c r="BK73" s="341"/>
      <c r="BL73" s="341">
        <v>874.8</v>
      </c>
      <c r="BM73" s="341">
        <v>16927.66</v>
      </c>
      <c r="BN73" s="341">
        <v>1625.05</v>
      </c>
      <c r="BO73" s="341">
        <v>1245061.5799999998</v>
      </c>
      <c r="BP73" s="341">
        <v>1136.22</v>
      </c>
      <c r="BQ73" s="341"/>
      <c r="BR73" s="341"/>
      <c r="BS73" s="341">
        <v>105875</v>
      </c>
      <c r="BT73" s="341"/>
      <c r="BU73" s="341"/>
      <c r="BV73" s="341"/>
      <c r="BW73" s="341"/>
      <c r="BX73" s="341">
        <v>33161</v>
      </c>
      <c r="BY73" s="341">
        <v>46931.229999999996</v>
      </c>
      <c r="BZ73" s="341"/>
      <c r="CA73" s="341"/>
      <c r="CB73" s="347"/>
      <c r="CC73" s="341"/>
      <c r="CD73" s="341"/>
      <c r="CE73" s="341">
        <v>275759.00000000006</v>
      </c>
      <c r="CF73" s="341">
        <v>1076.5</v>
      </c>
      <c r="CG73" s="341">
        <v>159673.91999999998</v>
      </c>
      <c r="CH73" s="341"/>
      <c r="CI73" s="341"/>
      <c r="CJ73" s="341"/>
      <c r="CK73" s="341"/>
      <c r="CL73" s="341"/>
      <c r="CM73" s="341"/>
      <c r="CN73" s="341"/>
      <c r="CO73" s="341"/>
      <c r="CP73" s="347">
        <v>23451</v>
      </c>
      <c r="CQ73" s="341"/>
      <c r="CR73" s="342">
        <f t="shared" si="4"/>
        <v>1893750.4999999998</v>
      </c>
    </row>
    <row r="74" spans="1:96" x14ac:dyDescent="0.25">
      <c r="A74" s="45" t="s">
        <v>402</v>
      </c>
      <c r="B74" s="45">
        <v>-140598.30999999997</v>
      </c>
      <c r="C74" s="45">
        <v>-15333.05</v>
      </c>
      <c r="D74" s="45">
        <v>424377.00000000006</v>
      </c>
      <c r="E74" s="45">
        <v>69864.000000000015</v>
      </c>
      <c r="G74" s="45">
        <v>261870.08000000002</v>
      </c>
      <c r="H74" s="45">
        <v>11939889.000000002</v>
      </c>
      <c r="I74" s="45">
        <v>235</v>
      </c>
      <c r="J74" s="45">
        <v>1310433.6000000001</v>
      </c>
      <c r="K74" s="45">
        <v>3757880.8600000008</v>
      </c>
      <c r="L74" s="45">
        <v>6748901.9000000004</v>
      </c>
      <c r="M74" s="45">
        <v>3589095.4899999998</v>
      </c>
      <c r="N74" s="45">
        <v>125093.69</v>
      </c>
      <c r="O74" s="45">
        <v>1490726.1599999997</v>
      </c>
      <c r="P74" s="45">
        <v>8315.9599999999991</v>
      </c>
      <c r="Q74" s="45">
        <v>114755.03999999998</v>
      </c>
      <c r="R74" s="45">
        <v>154762.82999999999</v>
      </c>
      <c r="S74" s="45">
        <v>2399536.94</v>
      </c>
      <c r="T74" s="45">
        <v>81441.609999999971</v>
      </c>
      <c r="U74" s="45">
        <v>78589.570000000007</v>
      </c>
      <c r="V74" s="45">
        <v>36086.239999999998</v>
      </c>
      <c r="W74" s="45">
        <v>2069017.08</v>
      </c>
      <c r="X74" s="45">
        <v>465278.79000000004</v>
      </c>
      <c r="Z74" s="45">
        <v>13470</v>
      </c>
      <c r="AA74" s="45">
        <v>37573.31</v>
      </c>
      <c r="AB74" s="45">
        <v>977327.22999999975</v>
      </c>
      <c r="AC74" s="45">
        <v>2230151</v>
      </c>
      <c r="AD74" s="45">
        <v>457493.23</v>
      </c>
      <c r="AG74" s="45">
        <v>869476.38</v>
      </c>
      <c r="AH74" s="45">
        <v>6175.16</v>
      </c>
      <c r="AI74" s="45">
        <v>140415.87</v>
      </c>
      <c r="AJ74" s="45">
        <v>314903.31</v>
      </c>
      <c r="AK74" s="45">
        <v>152211.79</v>
      </c>
      <c r="AL74" s="45">
        <v>20001</v>
      </c>
      <c r="AM74" s="45">
        <v>47797</v>
      </c>
      <c r="AN74" s="45">
        <v>84491.709999999992</v>
      </c>
      <c r="AO74" s="45">
        <v>15099.46</v>
      </c>
      <c r="AQ74" s="45">
        <v>31515.39</v>
      </c>
      <c r="AR74" s="45">
        <v>36543.75</v>
      </c>
      <c r="AS74" s="45">
        <v>4202</v>
      </c>
      <c r="AT74" s="45">
        <v>510832.23</v>
      </c>
      <c r="AV74" s="45">
        <v>10000</v>
      </c>
      <c r="AW74" s="45">
        <v>448542.86</v>
      </c>
      <c r="AX74" s="45">
        <v>1764.54</v>
      </c>
      <c r="AY74" s="45">
        <v>2297616.0799999996</v>
      </c>
      <c r="AZ74" s="45">
        <v>547929.5</v>
      </c>
      <c r="BA74" s="45">
        <v>77270</v>
      </c>
      <c r="BB74" s="45">
        <v>35535.140000000007</v>
      </c>
      <c r="BE74" s="2">
        <f t="shared" si="3"/>
        <v>44338557.419999994</v>
      </c>
      <c r="BG74" s="341"/>
      <c r="BH74" s="341">
        <v>641.33000000000004</v>
      </c>
      <c r="BI74" s="341">
        <v>592345.84</v>
      </c>
      <c r="BJ74" s="341"/>
      <c r="BK74" s="341"/>
      <c r="BL74" s="341">
        <v>1610.08</v>
      </c>
      <c r="BM74" s="341">
        <v>31437.07</v>
      </c>
      <c r="BN74" s="341">
        <v>3302.9300000000003</v>
      </c>
      <c r="BO74" s="341">
        <v>2260657.9099999997</v>
      </c>
      <c r="BP74" s="341">
        <v>870.12</v>
      </c>
      <c r="BQ74" s="341"/>
      <c r="BR74" s="341"/>
      <c r="BS74" s="341">
        <v>189200</v>
      </c>
      <c r="BT74" s="341"/>
      <c r="BU74" s="341"/>
      <c r="BV74" s="341">
        <v>5000</v>
      </c>
      <c r="BW74" s="341"/>
      <c r="BX74" s="341">
        <v>33161</v>
      </c>
      <c r="BY74" s="341">
        <v>65368.5</v>
      </c>
      <c r="BZ74" s="341"/>
      <c r="CA74" s="341"/>
      <c r="CB74" s="347"/>
      <c r="CC74" s="341"/>
      <c r="CD74" s="341"/>
      <c r="CE74" s="341">
        <v>681381.26</v>
      </c>
      <c r="CF74" s="341">
        <v>1076.5</v>
      </c>
      <c r="CG74" s="341">
        <v>344862.74999999994</v>
      </c>
      <c r="CH74" s="341"/>
      <c r="CI74" s="341"/>
      <c r="CJ74" s="341"/>
      <c r="CK74" s="341"/>
      <c r="CL74" s="341"/>
      <c r="CM74" s="341"/>
      <c r="CN74" s="341"/>
      <c r="CO74" s="341"/>
      <c r="CP74" s="347">
        <v>47556</v>
      </c>
      <c r="CQ74" s="341"/>
      <c r="CR74" s="342">
        <f t="shared" si="4"/>
        <v>3632436.9699999997</v>
      </c>
    </row>
    <row r="75" spans="1:96" x14ac:dyDescent="0.25">
      <c r="A75" s="45" t="s">
        <v>403</v>
      </c>
      <c r="B75" s="45">
        <v>-45571.83</v>
      </c>
      <c r="C75" s="45">
        <v>-7572.61</v>
      </c>
      <c r="D75" s="45">
        <v>188612</v>
      </c>
      <c r="E75" s="45">
        <v>19361.329999999994</v>
      </c>
      <c r="G75" s="45">
        <v>116386.69999999998</v>
      </c>
      <c r="H75" s="45">
        <v>3360359</v>
      </c>
      <c r="I75" s="45">
        <v>55</v>
      </c>
      <c r="J75" s="45">
        <v>332325.01</v>
      </c>
      <c r="K75" s="45">
        <v>926918.26999999979</v>
      </c>
      <c r="L75" s="45">
        <v>1773170.28</v>
      </c>
      <c r="M75" s="45">
        <v>680366.4</v>
      </c>
      <c r="N75" s="45">
        <v>31355.43</v>
      </c>
      <c r="O75" s="45">
        <v>440174.54</v>
      </c>
      <c r="P75" s="45">
        <v>6940.21</v>
      </c>
      <c r="Q75" s="45">
        <v>80167.049999999988</v>
      </c>
      <c r="R75" s="45">
        <v>32901.939999999995</v>
      </c>
      <c r="S75" s="45">
        <v>734958.10000000009</v>
      </c>
      <c r="T75" s="45">
        <v>36516.899999999994</v>
      </c>
      <c r="U75" s="45">
        <v>8486.4599999999973</v>
      </c>
      <c r="V75" s="45">
        <v>3983.1299999999997</v>
      </c>
      <c r="W75" s="45">
        <v>930687.87999999989</v>
      </c>
      <c r="X75" s="45">
        <v>247015.82</v>
      </c>
      <c r="Z75" s="45">
        <v>12200</v>
      </c>
      <c r="AA75" s="45">
        <v>17658.689999999999</v>
      </c>
      <c r="AB75" s="45">
        <v>332235.62</v>
      </c>
      <c r="AC75" s="45">
        <v>715513.99999999977</v>
      </c>
      <c r="AD75" s="45">
        <v>146780.56000000006</v>
      </c>
      <c r="AG75" s="45">
        <v>295962.76999999996</v>
      </c>
      <c r="AH75" s="45">
        <v>1729.05</v>
      </c>
      <c r="AI75" s="45">
        <v>39865.08</v>
      </c>
      <c r="AJ75" s="45">
        <v>94428.160000000003</v>
      </c>
      <c r="AK75" s="45">
        <v>49999.999999999993</v>
      </c>
      <c r="AL75" s="45">
        <v>5980.5</v>
      </c>
      <c r="AM75" s="45">
        <v>5822.5</v>
      </c>
      <c r="AN75" s="45">
        <v>28837.809999999994</v>
      </c>
      <c r="AO75" s="45">
        <v>4372.92</v>
      </c>
      <c r="AQ75" s="45">
        <v>3166.06</v>
      </c>
      <c r="AR75" s="45">
        <v>22500</v>
      </c>
      <c r="AS75" s="45">
        <v>3184</v>
      </c>
      <c r="AT75" s="45">
        <v>143786.47999999998</v>
      </c>
      <c r="AV75" s="45">
        <v>10000</v>
      </c>
      <c r="AW75" s="45">
        <v>48077.030000000006</v>
      </c>
      <c r="AY75" s="45">
        <v>751312.40999999992</v>
      </c>
      <c r="AZ75" s="45">
        <v>244207.96000000002</v>
      </c>
      <c r="BA75" s="45">
        <v>145000</v>
      </c>
      <c r="BE75" s="2">
        <f t="shared" si="3"/>
        <v>13020218.610000003</v>
      </c>
      <c r="BG75" s="341">
        <v>1959.61</v>
      </c>
      <c r="BH75" s="341">
        <v>663.44</v>
      </c>
      <c r="BI75" s="341">
        <v>233448.04000000004</v>
      </c>
      <c r="BJ75" s="341"/>
      <c r="BK75" s="341"/>
      <c r="BL75" s="341">
        <v>604.16</v>
      </c>
      <c r="BM75" s="341">
        <v>13904.86</v>
      </c>
      <c r="BN75" s="341">
        <v>1084.9000000000001</v>
      </c>
      <c r="BO75" s="341">
        <v>938231.34999999986</v>
      </c>
      <c r="BP75" s="341">
        <v>301.83000000000004</v>
      </c>
      <c r="BQ75" s="341"/>
      <c r="BR75" s="341"/>
      <c r="BS75" s="341">
        <v>59675</v>
      </c>
      <c r="BT75" s="341"/>
      <c r="BU75" s="341"/>
      <c r="BV75" s="341"/>
      <c r="BW75" s="341"/>
      <c r="BX75" s="341"/>
      <c r="BY75" s="341">
        <v>26817.85</v>
      </c>
      <c r="BZ75" s="341"/>
      <c r="CA75" s="341"/>
      <c r="CB75" s="347"/>
      <c r="CC75" s="341"/>
      <c r="CD75" s="341"/>
      <c r="CE75" s="341">
        <v>179564</v>
      </c>
      <c r="CF75" s="341">
        <v>1076.5</v>
      </c>
      <c r="CG75" s="341"/>
      <c r="CH75" s="341">
        <v>475053.33</v>
      </c>
      <c r="CI75" s="341"/>
      <c r="CJ75" s="341"/>
      <c r="CK75" s="341">
        <v>6447</v>
      </c>
      <c r="CL75" s="341"/>
      <c r="CM75" s="341">
        <v>6014.4</v>
      </c>
      <c r="CN75" s="341"/>
      <c r="CO75" s="341"/>
      <c r="CP75" s="347">
        <v>13449</v>
      </c>
      <c r="CQ75" s="341"/>
      <c r="CR75" s="342">
        <f t="shared" si="4"/>
        <v>1707715.1599999997</v>
      </c>
    </row>
    <row r="76" spans="1:96" x14ac:dyDescent="0.25">
      <c r="A76" s="45" t="s">
        <v>404</v>
      </c>
      <c r="B76" s="45">
        <v>-59037.1</v>
      </c>
      <c r="C76" s="45">
        <v>-4582.3599999999997</v>
      </c>
      <c r="D76" s="45">
        <v>141459</v>
      </c>
      <c r="E76" s="45">
        <v>20061.419999999998</v>
      </c>
      <c r="G76" s="45">
        <v>58193.35</v>
      </c>
      <c r="H76" s="45">
        <v>3415530</v>
      </c>
      <c r="J76" s="45">
        <v>367192.79</v>
      </c>
      <c r="K76" s="45">
        <v>1073654.9000000001</v>
      </c>
      <c r="L76" s="45">
        <v>1818050.4800000002</v>
      </c>
      <c r="M76" s="45">
        <v>515777.59</v>
      </c>
      <c r="N76" s="45">
        <v>42916.78</v>
      </c>
      <c r="O76" s="45">
        <v>645590.12999999989</v>
      </c>
      <c r="P76" s="45">
        <v>5862.4999999999991</v>
      </c>
      <c r="Q76" s="45">
        <v>37789.65</v>
      </c>
      <c r="R76" s="45">
        <v>30681.11</v>
      </c>
      <c r="S76" s="45">
        <v>548807.78999999992</v>
      </c>
      <c r="T76" s="45">
        <v>31498.179999999993</v>
      </c>
      <c r="U76" s="45">
        <v>26248.479999999996</v>
      </c>
      <c r="V76" s="45">
        <v>4167.0700000000006</v>
      </c>
      <c r="W76" s="45">
        <v>1113752.78</v>
      </c>
      <c r="X76" s="45">
        <v>174874.13999999998</v>
      </c>
      <c r="AA76" s="45">
        <v>17773.75</v>
      </c>
      <c r="AB76" s="45">
        <v>287088.75</v>
      </c>
      <c r="AC76" s="45">
        <v>563080</v>
      </c>
      <c r="AD76" s="45">
        <v>115510.25</v>
      </c>
      <c r="AG76" s="45">
        <v>234193.67</v>
      </c>
      <c r="AH76" s="45">
        <v>1729.05</v>
      </c>
      <c r="AI76" s="45">
        <v>38386.189999999995</v>
      </c>
      <c r="AJ76" s="45">
        <v>88257.329999999973</v>
      </c>
      <c r="AK76" s="45">
        <v>49999.999999999993</v>
      </c>
      <c r="AL76" s="45">
        <v>5112.5</v>
      </c>
      <c r="AM76" s="45">
        <v>8580</v>
      </c>
      <c r="AN76" s="45">
        <v>16136.350000000002</v>
      </c>
      <c r="AO76" s="45">
        <v>3952.9</v>
      </c>
      <c r="AR76" s="45">
        <v>14083.94</v>
      </c>
      <c r="AS76" s="45">
        <v>4063.2</v>
      </c>
      <c r="AT76" s="45">
        <v>145868.03</v>
      </c>
      <c r="AV76" s="45">
        <v>10000</v>
      </c>
      <c r="AW76" s="45">
        <v>46205.500000000007</v>
      </c>
      <c r="AX76" s="45">
        <v>1470.45</v>
      </c>
      <c r="AY76" s="45">
        <v>732302.04999999981</v>
      </c>
      <c r="AZ76" s="45">
        <v>61051.99</v>
      </c>
      <c r="BA76" s="45">
        <v>182390</v>
      </c>
      <c r="BE76" s="2">
        <f t="shared" si="3"/>
        <v>12635724.58</v>
      </c>
      <c r="BG76" s="341">
        <v>3240</v>
      </c>
      <c r="BH76" s="341">
        <v>663.44</v>
      </c>
      <c r="BI76" s="341">
        <v>222575.49999999997</v>
      </c>
      <c r="BJ76" s="341"/>
      <c r="BK76" s="341"/>
      <c r="BL76" s="341">
        <v>-67.790000000000006</v>
      </c>
      <c r="BM76" s="341">
        <v>17532.21</v>
      </c>
      <c r="BN76" s="341"/>
      <c r="BO76" s="341">
        <v>605921.37000000011</v>
      </c>
      <c r="BP76" s="341">
        <v>424.03</v>
      </c>
      <c r="BQ76" s="341"/>
      <c r="BR76" s="341"/>
      <c r="BS76" s="341">
        <v>48675</v>
      </c>
      <c r="BT76" s="341"/>
      <c r="BU76" s="341"/>
      <c r="BV76" s="341"/>
      <c r="BW76" s="341"/>
      <c r="BX76" s="341"/>
      <c r="BY76" s="341">
        <v>35198.42</v>
      </c>
      <c r="BZ76" s="341"/>
      <c r="CA76" s="341"/>
      <c r="CB76" s="347"/>
      <c r="CC76" s="341"/>
      <c r="CD76" s="341"/>
      <c r="CE76" s="341">
        <v>205216</v>
      </c>
      <c r="CF76" s="341">
        <v>1076.5</v>
      </c>
      <c r="CG76" s="341"/>
      <c r="CH76" s="341">
        <v>487046.58999999997</v>
      </c>
      <c r="CI76" s="341"/>
      <c r="CJ76" s="341"/>
      <c r="CK76" s="341"/>
      <c r="CL76" s="341"/>
      <c r="CM76" s="341"/>
      <c r="CN76" s="341"/>
      <c r="CO76" s="341"/>
      <c r="CP76" s="347">
        <v>13587</v>
      </c>
      <c r="CQ76" s="341"/>
      <c r="CR76" s="342">
        <f t="shared" si="4"/>
        <v>1397144.9100000001</v>
      </c>
    </row>
    <row r="77" spans="1:96" x14ac:dyDescent="0.25">
      <c r="A77" s="45" t="s">
        <v>405</v>
      </c>
      <c r="B77" s="45">
        <v>-54228.04</v>
      </c>
      <c r="C77" s="45">
        <v>-12944.14</v>
      </c>
      <c r="D77" s="45">
        <v>330071</v>
      </c>
      <c r="E77" s="45">
        <v>61137.449999999983</v>
      </c>
      <c r="G77" s="45">
        <v>174580.06</v>
      </c>
      <c r="H77" s="45">
        <v>8797415</v>
      </c>
      <c r="I77" s="45">
        <v>345</v>
      </c>
      <c r="J77" s="45">
        <v>979439.99999999988</v>
      </c>
      <c r="K77" s="45">
        <v>2832254.6399999992</v>
      </c>
      <c r="L77" s="45">
        <v>5075203.7</v>
      </c>
      <c r="M77" s="45">
        <v>2480666.0699999998</v>
      </c>
      <c r="N77" s="45">
        <v>91414.400000000009</v>
      </c>
      <c r="O77" s="45">
        <v>1374536.4200000002</v>
      </c>
      <c r="P77" s="45">
        <v>12802.469999999998</v>
      </c>
      <c r="Q77" s="45">
        <v>132748.56</v>
      </c>
      <c r="R77" s="45">
        <v>24881.570000000003</v>
      </c>
      <c r="S77" s="45">
        <v>1603543.1</v>
      </c>
      <c r="T77" s="45">
        <v>66904.87</v>
      </c>
      <c r="U77" s="45">
        <v>35189.67</v>
      </c>
      <c r="V77" s="45">
        <v>31050.690000000002</v>
      </c>
      <c r="W77" s="45">
        <v>1489724.3899999997</v>
      </c>
      <c r="X77" s="45">
        <v>624359.84</v>
      </c>
      <c r="Z77" s="45">
        <v>3968.4700000000003</v>
      </c>
      <c r="AA77" s="45">
        <v>33790.04</v>
      </c>
      <c r="AB77" s="45">
        <v>791987.77000000014</v>
      </c>
      <c r="AC77" s="45">
        <v>2056662</v>
      </c>
      <c r="AD77" s="45">
        <v>421903.7</v>
      </c>
      <c r="AG77" s="45">
        <v>658762.18999999994</v>
      </c>
      <c r="AH77" s="45">
        <v>7163.19</v>
      </c>
      <c r="AI77" s="45">
        <v>118642.66999999998</v>
      </c>
      <c r="AJ77" s="45">
        <v>267364.23</v>
      </c>
      <c r="AK77" s="45">
        <v>155223.90000000002</v>
      </c>
      <c r="AL77" s="45">
        <v>17055.25</v>
      </c>
      <c r="AM77" s="45">
        <v>28965</v>
      </c>
      <c r="AN77" s="45">
        <v>49601.000000000007</v>
      </c>
      <c r="AO77" s="45">
        <v>12367.98</v>
      </c>
      <c r="AS77" s="45">
        <v>18304</v>
      </c>
      <c r="AT77" s="45">
        <v>308765.36000000004</v>
      </c>
      <c r="AV77" s="45">
        <v>10000</v>
      </c>
      <c r="AW77" s="45">
        <v>211052.42</v>
      </c>
      <c r="AX77" s="45">
        <v>588.17999999999995</v>
      </c>
      <c r="AY77" s="45">
        <v>1576534.69</v>
      </c>
      <c r="AZ77" s="45">
        <v>427363.93000000005</v>
      </c>
      <c r="BA77" s="45">
        <v>60000</v>
      </c>
      <c r="BE77" s="2">
        <f t="shared" si="3"/>
        <v>33387162.690000005</v>
      </c>
      <c r="BG77" s="341"/>
      <c r="BH77" s="341">
        <v>663.44</v>
      </c>
      <c r="BI77" s="341">
        <v>402734.22999999992</v>
      </c>
      <c r="BJ77" s="341"/>
      <c r="BK77" s="341"/>
      <c r="BL77" s="341">
        <v>15273.18</v>
      </c>
      <c r="BM77" s="341">
        <v>21764.13</v>
      </c>
      <c r="BN77" s="341">
        <v>1441.92</v>
      </c>
      <c r="BO77" s="341">
        <v>1843338.6699999997</v>
      </c>
      <c r="BP77" s="341">
        <v>1072.43</v>
      </c>
      <c r="BQ77" s="341"/>
      <c r="BR77" s="341"/>
      <c r="BS77" s="341">
        <v>171875</v>
      </c>
      <c r="BT77" s="341"/>
      <c r="BU77" s="341"/>
      <c r="BV77" s="341"/>
      <c r="BW77" s="341"/>
      <c r="BX77" s="341"/>
      <c r="BY77" s="341">
        <v>55311.81</v>
      </c>
      <c r="BZ77" s="341"/>
      <c r="CA77" s="341"/>
      <c r="CB77" s="347"/>
      <c r="CC77" s="341"/>
      <c r="CD77" s="341"/>
      <c r="CE77" s="341">
        <v>724669</v>
      </c>
      <c r="CF77" s="341">
        <v>1076.5</v>
      </c>
      <c r="CG77" s="341">
        <v>285602.32</v>
      </c>
      <c r="CH77" s="341"/>
      <c r="CI77" s="341"/>
      <c r="CJ77" s="341"/>
      <c r="CK77" s="341"/>
      <c r="CL77" s="341"/>
      <c r="CM77" s="341"/>
      <c r="CN77" s="341"/>
      <c r="CO77" s="341"/>
      <c r="CP77" s="347">
        <v>35094</v>
      </c>
      <c r="CQ77" s="341"/>
      <c r="CR77" s="342">
        <f t="shared" si="4"/>
        <v>3119481.6499999994</v>
      </c>
    </row>
    <row r="78" spans="1:96" x14ac:dyDescent="0.25">
      <c r="A78" s="45" t="s">
        <v>406</v>
      </c>
      <c r="B78" s="45">
        <v>-191163.37000000002</v>
      </c>
      <c r="C78" s="45">
        <v>-32447.91</v>
      </c>
      <c r="D78" s="45">
        <v>424377.00000000006</v>
      </c>
      <c r="E78" s="45">
        <v>78586.62999999999</v>
      </c>
      <c r="G78" s="45">
        <v>261870.08000000002</v>
      </c>
      <c r="H78" s="45">
        <v>13377801</v>
      </c>
      <c r="I78" s="45">
        <v>440</v>
      </c>
      <c r="J78" s="45">
        <v>1238897.77</v>
      </c>
      <c r="K78" s="45">
        <v>3667675.75</v>
      </c>
      <c r="L78" s="45">
        <v>7141532.7600000016</v>
      </c>
      <c r="M78" s="45">
        <v>2801743.48</v>
      </c>
      <c r="N78" s="45">
        <v>164392.35</v>
      </c>
      <c r="O78" s="45">
        <v>2251519.4699999997</v>
      </c>
      <c r="P78" s="45">
        <v>922.01999999999987</v>
      </c>
      <c r="Q78" s="45">
        <v>132790.94</v>
      </c>
      <c r="R78" s="45">
        <v>91535.13</v>
      </c>
      <c r="S78" s="45">
        <v>2585886.5200000005</v>
      </c>
      <c r="T78" s="45">
        <v>79395.449999999983</v>
      </c>
      <c r="U78" s="45">
        <v>53644.01999999999</v>
      </c>
      <c r="V78" s="45">
        <v>32480.819999999996</v>
      </c>
      <c r="W78" s="45">
        <v>3733707.98</v>
      </c>
      <c r="X78" s="45">
        <v>728094.2799999998</v>
      </c>
      <c r="Z78" s="45">
        <v>24795</v>
      </c>
      <c r="AA78" s="45">
        <v>40977.54</v>
      </c>
      <c r="AB78" s="45">
        <v>1270784.99</v>
      </c>
      <c r="AC78" s="45">
        <v>2520958</v>
      </c>
      <c r="AD78" s="45">
        <v>517149.39</v>
      </c>
      <c r="AG78" s="45">
        <v>1185769.92</v>
      </c>
      <c r="AH78" s="45">
        <v>8892.23</v>
      </c>
      <c r="AI78" s="45">
        <v>157967.90000000002</v>
      </c>
      <c r="AJ78" s="45">
        <v>377358.17</v>
      </c>
      <c r="AK78" s="45">
        <v>144179.50999999998</v>
      </c>
      <c r="AL78" s="45">
        <v>23443.75</v>
      </c>
      <c r="AM78" s="45">
        <v>14410</v>
      </c>
      <c r="AN78" s="45">
        <v>56473.429999999993</v>
      </c>
      <c r="AO78" s="45">
        <v>16988.78</v>
      </c>
      <c r="AR78" s="45">
        <v>60970.080000000002</v>
      </c>
      <c r="AS78" s="45">
        <v>2080</v>
      </c>
      <c r="AT78" s="45">
        <v>582896.01</v>
      </c>
      <c r="AV78" s="45">
        <v>10000</v>
      </c>
      <c r="AW78" s="45">
        <v>607443.02</v>
      </c>
      <c r="AX78" s="45">
        <v>1764.54</v>
      </c>
      <c r="AY78" s="45">
        <v>2787099.3900000006</v>
      </c>
      <c r="AZ78" s="45">
        <v>545451.56999999995</v>
      </c>
      <c r="BA78" s="45">
        <v>128000</v>
      </c>
      <c r="BB78" s="45">
        <v>89781.2</v>
      </c>
      <c r="BE78" s="2">
        <f t="shared" si="3"/>
        <v>49799316.590000011</v>
      </c>
      <c r="BG78" s="341">
        <v>5106.8599999999997</v>
      </c>
      <c r="BH78" s="341">
        <v>641.33000000000004</v>
      </c>
      <c r="BI78" s="341">
        <v>602698.99</v>
      </c>
      <c r="BJ78" s="341"/>
      <c r="BK78" s="341"/>
      <c r="BL78" s="341">
        <v>2475.66</v>
      </c>
      <c r="BM78" s="341">
        <v>25391.48</v>
      </c>
      <c r="BN78" s="341">
        <v>3958.1800000000003</v>
      </c>
      <c r="BO78" s="341">
        <v>2609152.8299999996</v>
      </c>
      <c r="BP78" s="341">
        <v>1791.5</v>
      </c>
      <c r="BQ78" s="341"/>
      <c r="BR78" s="341"/>
      <c r="BS78" s="341">
        <v>215600</v>
      </c>
      <c r="BT78" s="341"/>
      <c r="BU78" s="341"/>
      <c r="BV78" s="341">
        <v>4880</v>
      </c>
      <c r="BW78" s="341"/>
      <c r="BX78" s="341"/>
      <c r="BY78" s="341">
        <v>122356.42</v>
      </c>
      <c r="BZ78" s="341"/>
      <c r="CA78" s="341"/>
      <c r="CB78" s="347"/>
      <c r="CC78" s="341"/>
      <c r="CD78" s="341"/>
      <c r="CE78" s="341">
        <v>536768.10000000009</v>
      </c>
      <c r="CF78" s="341">
        <v>1076.5</v>
      </c>
      <c r="CG78" s="341"/>
      <c r="CH78" s="341">
        <v>1454792.3699999999</v>
      </c>
      <c r="CI78" s="341"/>
      <c r="CJ78" s="341"/>
      <c r="CK78" s="341"/>
      <c r="CL78" s="341"/>
      <c r="CM78" s="341">
        <v>27064.799999999999</v>
      </c>
      <c r="CN78" s="341"/>
      <c r="CO78" s="341"/>
      <c r="CP78" s="347">
        <v>53417</v>
      </c>
      <c r="CQ78" s="341"/>
      <c r="CR78" s="342">
        <f t="shared" si="4"/>
        <v>5030857.6999999993</v>
      </c>
    </row>
    <row r="79" spans="1:96" x14ac:dyDescent="0.25">
      <c r="A79" s="45" t="s">
        <v>407</v>
      </c>
      <c r="B79" s="45">
        <v>-389937.12</v>
      </c>
      <c r="C79" s="45">
        <v>-36844.9</v>
      </c>
      <c r="D79" s="45">
        <v>235765.00000000003</v>
      </c>
      <c r="E79" s="45">
        <v>56828.030000000006</v>
      </c>
      <c r="G79" s="45">
        <v>203676.72999999998</v>
      </c>
      <c r="H79" s="45">
        <v>7433602</v>
      </c>
      <c r="I79" s="45">
        <v>175</v>
      </c>
      <c r="J79" s="45">
        <v>875606.95999999985</v>
      </c>
      <c r="K79" s="45">
        <v>2571398.3400000003</v>
      </c>
      <c r="L79" s="45">
        <v>4381111.22</v>
      </c>
      <c r="M79" s="45">
        <v>1908417.08</v>
      </c>
      <c r="N79" s="45">
        <v>83127.460000000006</v>
      </c>
      <c r="O79" s="45">
        <v>660253.29999999993</v>
      </c>
      <c r="P79" s="45">
        <v>13777.260000000002</v>
      </c>
      <c r="Q79" s="45">
        <v>166699.24000000002</v>
      </c>
      <c r="R79" s="45">
        <v>98845.48</v>
      </c>
      <c r="S79" s="45">
        <v>1285267.5299999998</v>
      </c>
      <c r="T79" s="45">
        <v>28164.03</v>
      </c>
      <c r="U79" s="45">
        <v>63934.469999999994</v>
      </c>
      <c r="V79" s="45">
        <v>18353.32</v>
      </c>
      <c r="W79" s="45">
        <v>1367866.0899999999</v>
      </c>
      <c r="X79" s="45">
        <v>382450.00999999995</v>
      </c>
      <c r="Z79" s="45">
        <v>10916.830000000002</v>
      </c>
      <c r="AA79" s="45">
        <v>31040.93</v>
      </c>
      <c r="AB79" s="45">
        <v>858726.08000000007</v>
      </c>
      <c r="AC79" s="45">
        <v>2519635.0000000005</v>
      </c>
      <c r="AD79" s="45">
        <v>516877.98999999987</v>
      </c>
      <c r="AG79" s="45">
        <v>678779.27</v>
      </c>
      <c r="AH79" s="45">
        <v>11115.29</v>
      </c>
      <c r="AI79" s="45">
        <v>102554.69</v>
      </c>
      <c r="AJ79" s="45">
        <v>231341.81000000003</v>
      </c>
      <c r="AK79" s="45">
        <v>507238.75999999995</v>
      </c>
      <c r="AL79" s="45">
        <v>13838.25</v>
      </c>
      <c r="AM79" s="45">
        <v>14156.75</v>
      </c>
      <c r="AN79" s="45">
        <v>16713.089999999997</v>
      </c>
      <c r="AO79" s="45">
        <v>9973.56</v>
      </c>
      <c r="AQ79" s="45">
        <v>7038.63</v>
      </c>
      <c r="AR79" s="45">
        <v>38256.78</v>
      </c>
      <c r="AS79" s="45">
        <v>9968</v>
      </c>
      <c r="AT79" s="45">
        <v>294447.31</v>
      </c>
      <c r="AV79" s="45">
        <v>217313.65</v>
      </c>
      <c r="AW79" s="45">
        <v>144910.07</v>
      </c>
      <c r="AY79" s="45">
        <v>1768272.31</v>
      </c>
      <c r="AZ79" s="45">
        <v>384627.54000000004</v>
      </c>
      <c r="BA79" s="45">
        <v>217500</v>
      </c>
      <c r="BE79" s="2">
        <f t="shared" si="3"/>
        <v>30013779.119999997</v>
      </c>
      <c r="BG79" s="341">
        <v>3732.33</v>
      </c>
      <c r="BH79" s="341">
        <v>3206.63</v>
      </c>
      <c r="BI79" s="341">
        <v>644587.52000000014</v>
      </c>
      <c r="BJ79" s="341"/>
      <c r="BK79" s="341"/>
      <c r="BL79" s="341">
        <v>1236.01</v>
      </c>
      <c r="BM79" s="341">
        <v>39296.339999999997</v>
      </c>
      <c r="BN79" s="341">
        <v>21849.41</v>
      </c>
      <c r="BO79" s="341">
        <v>2665591.5200000009</v>
      </c>
      <c r="BP79" s="341">
        <v>1758.92</v>
      </c>
      <c r="BQ79" s="341"/>
      <c r="BR79" s="341">
        <v>115000</v>
      </c>
      <c r="BS79" s="341">
        <v>213675</v>
      </c>
      <c r="BT79" s="341"/>
      <c r="BU79" s="341">
        <v>6949.26</v>
      </c>
      <c r="BV79" s="341"/>
      <c r="BW79" s="341"/>
      <c r="BX79" s="341">
        <v>33161</v>
      </c>
      <c r="BY79" s="341">
        <v>108947.5</v>
      </c>
      <c r="BZ79" s="341"/>
      <c r="CA79" s="341"/>
      <c r="CB79" s="347"/>
      <c r="CC79" s="341"/>
      <c r="CD79" s="341"/>
      <c r="CE79" s="341">
        <v>548952.80000000005</v>
      </c>
      <c r="CF79" s="341">
        <v>1076.5</v>
      </c>
      <c r="CG79" s="341"/>
      <c r="CH79" s="341">
        <v>845474.67000000016</v>
      </c>
      <c r="CI79" s="341">
        <v>575260.68999999994</v>
      </c>
      <c r="CJ79" s="341">
        <v>5932.12</v>
      </c>
      <c r="CK79" s="341"/>
      <c r="CL79" s="341"/>
      <c r="CM79" s="341">
        <v>10825.92</v>
      </c>
      <c r="CN79" s="341"/>
      <c r="CO79" s="341"/>
      <c r="CP79" s="347">
        <v>30004</v>
      </c>
      <c r="CQ79" s="341"/>
      <c r="CR79" s="342">
        <f t="shared" si="4"/>
        <v>5184459.3100000015</v>
      </c>
    </row>
    <row r="80" spans="1:96" x14ac:dyDescent="0.25">
      <c r="A80" s="45" t="s">
        <v>408</v>
      </c>
      <c r="B80" s="45">
        <v>-197524.87</v>
      </c>
      <c r="C80" s="45">
        <v>-42055.38</v>
      </c>
      <c r="D80" s="45">
        <v>707295</v>
      </c>
      <c r="E80" s="45">
        <v>122668.3</v>
      </c>
      <c r="G80" s="45">
        <v>436450.14</v>
      </c>
      <c r="H80" s="45">
        <v>20666046</v>
      </c>
      <c r="I80" s="45">
        <v>330</v>
      </c>
      <c r="J80" s="45">
        <v>2322727.34</v>
      </c>
      <c r="K80" s="45">
        <v>6508853.04</v>
      </c>
      <c r="L80" s="45">
        <v>10990419.709999999</v>
      </c>
      <c r="M80" s="45">
        <v>2296175.8199999998</v>
      </c>
      <c r="N80" s="45">
        <v>263210.75</v>
      </c>
      <c r="O80" s="45">
        <v>3439175.71</v>
      </c>
      <c r="P80" s="45">
        <v>56263.920000000013</v>
      </c>
      <c r="Q80" s="45">
        <v>152681.41</v>
      </c>
      <c r="R80" s="45">
        <v>318597.7900000001</v>
      </c>
      <c r="S80" s="45">
        <v>3842974.9099999992</v>
      </c>
      <c r="T80" s="45">
        <v>161307.59</v>
      </c>
      <c r="U80" s="45">
        <v>79511.790000000008</v>
      </c>
      <c r="V80" s="45">
        <v>78401.099999999991</v>
      </c>
      <c r="W80" s="45">
        <v>6942079.1399999997</v>
      </c>
      <c r="X80" s="45">
        <v>788755.37</v>
      </c>
      <c r="AA80" s="45">
        <v>57028.07</v>
      </c>
      <c r="AB80" s="45">
        <v>2057971.2100000002</v>
      </c>
      <c r="AC80" s="45">
        <v>3358726.0000000005</v>
      </c>
      <c r="AD80" s="45">
        <v>689009.14</v>
      </c>
      <c r="AG80" s="45">
        <v>1937179.7599999998</v>
      </c>
      <c r="AH80" s="45">
        <v>19019.5</v>
      </c>
      <c r="AI80" s="45">
        <v>231438.31</v>
      </c>
      <c r="AJ80" s="45">
        <v>546347.94999999995</v>
      </c>
      <c r="AK80" s="45">
        <v>425911.88000000006</v>
      </c>
      <c r="AL80" s="45">
        <v>29995.25</v>
      </c>
      <c r="AM80" s="45">
        <v>50245</v>
      </c>
      <c r="AN80" s="45">
        <v>83162.120000000024</v>
      </c>
      <c r="AO80" s="45">
        <v>23518.5</v>
      </c>
      <c r="AQ80" s="45">
        <v>20123.650000000001</v>
      </c>
      <c r="AR80" s="45">
        <v>79177.83</v>
      </c>
      <c r="AS80" s="45">
        <v>30195.200000000001</v>
      </c>
      <c r="AT80" s="45">
        <v>645740.18000000005</v>
      </c>
      <c r="AU80" s="45">
        <v>52608</v>
      </c>
      <c r="AV80" s="45">
        <v>64092.15</v>
      </c>
      <c r="AW80" s="45">
        <v>133879.18</v>
      </c>
      <c r="AX80" s="45">
        <v>1764.54</v>
      </c>
      <c r="AY80" s="45">
        <v>4813614.2700000005</v>
      </c>
      <c r="AZ80" s="45">
        <v>915779.85000000009</v>
      </c>
      <c r="BA80" s="45">
        <v>195000</v>
      </c>
      <c r="BE80" s="2">
        <f t="shared" si="3"/>
        <v>76395872.120000035</v>
      </c>
      <c r="BG80" s="341">
        <v>11402.47</v>
      </c>
      <c r="BH80" s="341">
        <v>1923.98</v>
      </c>
      <c r="BI80" s="341">
        <v>1292216.74</v>
      </c>
      <c r="BJ80" s="341"/>
      <c r="BK80" s="341"/>
      <c r="BL80" s="341">
        <v>3038.02</v>
      </c>
      <c r="BM80" s="341">
        <v>60455.91</v>
      </c>
      <c r="BN80" s="341">
        <v>47296.43</v>
      </c>
      <c r="BO80" s="341">
        <v>4216854.9899999993</v>
      </c>
      <c r="BP80" s="341">
        <v>3119.3999999999996</v>
      </c>
      <c r="BQ80" s="341"/>
      <c r="BR80" s="341">
        <v>935500</v>
      </c>
      <c r="BS80" s="341">
        <v>283250</v>
      </c>
      <c r="BT80" s="341"/>
      <c r="BU80" s="341">
        <v>18154.36</v>
      </c>
      <c r="BV80" s="341"/>
      <c r="BW80" s="341"/>
      <c r="BX80" s="341">
        <v>33161</v>
      </c>
      <c r="BY80" s="341">
        <v>207838.3</v>
      </c>
      <c r="BZ80" s="341"/>
      <c r="CA80" s="341"/>
      <c r="CB80" s="347"/>
      <c r="CC80" s="341"/>
      <c r="CD80" s="341"/>
      <c r="CE80" s="341">
        <v>525865.99999999988</v>
      </c>
      <c r="CF80" s="341">
        <v>1076.5</v>
      </c>
      <c r="CG80" s="341"/>
      <c r="CH80" s="341">
        <v>2380177.56</v>
      </c>
      <c r="CI80" s="341">
        <v>382319.25</v>
      </c>
      <c r="CJ80" s="341">
        <v>1728.31</v>
      </c>
      <c r="CK80" s="341"/>
      <c r="CL80" s="341"/>
      <c r="CM80" s="341"/>
      <c r="CN80" s="341">
        <v>10000</v>
      </c>
      <c r="CO80" s="341"/>
      <c r="CP80" s="347">
        <v>81854</v>
      </c>
      <c r="CQ80" s="341"/>
      <c r="CR80" s="342">
        <f t="shared" si="4"/>
        <v>9128196.0999999996</v>
      </c>
    </row>
    <row r="81" spans="1:96" x14ac:dyDescent="0.25">
      <c r="A81" s="45" t="s">
        <v>409</v>
      </c>
      <c r="B81" s="45">
        <v>-95515.209999999992</v>
      </c>
      <c r="C81" s="45">
        <v>-19366.3</v>
      </c>
      <c r="D81" s="45">
        <v>188612</v>
      </c>
      <c r="E81" s="45">
        <v>29566.95</v>
      </c>
      <c r="G81" s="45">
        <v>116386.69999999998</v>
      </c>
      <c r="H81" s="45">
        <v>4776662</v>
      </c>
      <c r="I81" s="45">
        <v>55</v>
      </c>
      <c r="J81" s="45">
        <v>444892.11</v>
      </c>
      <c r="K81" s="45">
        <v>1430332.6099999999</v>
      </c>
      <c r="L81" s="45">
        <v>2587815.2999999998</v>
      </c>
      <c r="M81" s="45">
        <v>518865.24</v>
      </c>
      <c r="N81" s="45">
        <v>103228.48000000001</v>
      </c>
      <c r="O81" s="45">
        <v>847670.0199999999</v>
      </c>
      <c r="P81" s="45">
        <v>1088.47</v>
      </c>
      <c r="Q81" s="45">
        <v>26790.91</v>
      </c>
      <c r="R81" s="45">
        <v>78802.650000000009</v>
      </c>
      <c r="S81" s="45">
        <v>975662.21</v>
      </c>
      <c r="T81" s="45">
        <v>15323.29</v>
      </c>
      <c r="U81" s="45">
        <v>1750.2</v>
      </c>
      <c r="V81" s="45">
        <v>12456.789999999999</v>
      </c>
      <c r="W81" s="45">
        <v>1784775.5800000003</v>
      </c>
      <c r="X81" s="45">
        <v>74211.62</v>
      </c>
      <c r="Z81" s="45">
        <v>12299.999999999998</v>
      </c>
      <c r="AA81" s="45">
        <v>21419.78</v>
      </c>
      <c r="AB81" s="45">
        <v>514799.48000000004</v>
      </c>
      <c r="AC81" s="45">
        <v>875203.00000000023</v>
      </c>
      <c r="AD81" s="45">
        <v>179539.16999999998</v>
      </c>
      <c r="AG81" s="45">
        <v>459579.41</v>
      </c>
      <c r="AH81" s="45">
        <v>5434.14</v>
      </c>
      <c r="AI81" s="45">
        <v>79543.840000000011</v>
      </c>
      <c r="AJ81" s="45">
        <v>130431.24000000002</v>
      </c>
      <c r="AK81" s="45">
        <v>138958.52000000002</v>
      </c>
      <c r="AL81" s="45">
        <v>7297.75</v>
      </c>
      <c r="AM81" s="45">
        <v>16410</v>
      </c>
      <c r="AN81" s="45">
        <v>46228.24</v>
      </c>
      <c r="AO81" s="45">
        <v>5648.94</v>
      </c>
      <c r="AQ81" s="45">
        <v>4462.93</v>
      </c>
      <c r="AR81" s="45">
        <v>19209.240000000002</v>
      </c>
      <c r="AS81" s="45">
        <v>7264</v>
      </c>
      <c r="AT81" s="45">
        <v>107660.51000000002</v>
      </c>
      <c r="AV81" s="45">
        <v>20024.8</v>
      </c>
      <c r="AW81" s="45">
        <v>7035.5999999999985</v>
      </c>
      <c r="AX81" s="45">
        <v>294.08999999999997</v>
      </c>
      <c r="AY81" s="45">
        <v>1163337.7200000002</v>
      </c>
      <c r="AZ81" s="45">
        <v>244207.96</v>
      </c>
      <c r="BA81" s="45">
        <v>95000</v>
      </c>
      <c r="BC81" s="45">
        <v>45454.55</v>
      </c>
      <c r="BD81" s="45">
        <v>6818.19</v>
      </c>
      <c r="BE81" s="2">
        <f t="shared" si="3"/>
        <v>18113629.719999999</v>
      </c>
      <c r="BG81" s="341">
        <v>19865.439999999999</v>
      </c>
      <c r="BH81" s="341">
        <v>641.33000000000004</v>
      </c>
      <c r="BI81" s="341">
        <v>419127.67999999993</v>
      </c>
      <c r="BJ81" s="341"/>
      <c r="BK81" s="341"/>
      <c r="BL81" s="341">
        <v>1021.57</v>
      </c>
      <c r="BM81" s="341">
        <v>22368.69</v>
      </c>
      <c r="BN81" s="341">
        <v>8520.7099999999991</v>
      </c>
      <c r="BO81" s="341">
        <v>940702.45</v>
      </c>
      <c r="BP81" s="341">
        <v>1022.1700000000001</v>
      </c>
      <c r="BQ81" s="341"/>
      <c r="BR81" s="341"/>
      <c r="BS81" s="341">
        <v>76175</v>
      </c>
      <c r="BT81" s="341"/>
      <c r="BU81" s="341"/>
      <c r="BV81" s="341"/>
      <c r="BW81" s="341"/>
      <c r="BX81" s="341"/>
      <c r="BY81" s="341">
        <v>38550.65</v>
      </c>
      <c r="BZ81" s="341"/>
      <c r="CA81" s="341"/>
      <c r="CB81" s="347"/>
      <c r="CC81" s="341"/>
      <c r="CD81" s="341"/>
      <c r="CE81" s="341">
        <v>141086</v>
      </c>
      <c r="CF81" s="341">
        <v>1076.5</v>
      </c>
      <c r="CG81" s="341">
        <v>179427.39999999997</v>
      </c>
      <c r="CH81" s="341"/>
      <c r="CI81" s="341"/>
      <c r="CJ81" s="341"/>
      <c r="CK81" s="341"/>
      <c r="CL81" s="341"/>
      <c r="CM81" s="341"/>
      <c r="CN81" s="341"/>
      <c r="CO81" s="341"/>
      <c r="CP81" s="347">
        <v>19078</v>
      </c>
      <c r="CQ81" s="341"/>
      <c r="CR81" s="342">
        <f t="shared" si="4"/>
        <v>1405638.88</v>
      </c>
    </row>
    <row r="82" spans="1:96" x14ac:dyDescent="0.25">
      <c r="A82" s="45" t="s">
        <v>410</v>
      </c>
      <c r="B82" s="45">
        <v>-65185.220000000008</v>
      </c>
      <c r="C82" s="45">
        <v>-5416.57</v>
      </c>
      <c r="D82" s="45">
        <v>188612</v>
      </c>
      <c r="E82" s="45">
        <v>26737.07</v>
      </c>
      <c r="G82" s="45">
        <v>145483.38</v>
      </c>
      <c r="H82" s="45">
        <v>4095825.9999999995</v>
      </c>
      <c r="J82" s="45">
        <v>363401.51999999996</v>
      </c>
      <c r="K82" s="45">
        <v>1192524.6599999999</v>
      </c>
      <c r="L82" s="45">
        <v>2012991.0599999998</v>
      </c>
      <c r="M82" s="45">
        <v>559439.43000000005</v>
      </c>
      <c r="N82" s="45">
        <v>68782.050000000017</v>
      </c>
      <c r="O82" s="45">
        <v>328339.01</v>
      </c>
      <c r="P82" s="45">
        <v>6968.95</v>
      </c>
      <c r="Q82" s="45">
        <v>35280.290000000008</v>
      </c>
      <c r="R82" s="45">
        <v>173769.94999999998</v>
      </c>
      <c r="S82" s="45">
        <v>1021640.2799999999</v>
      </c>
      <c r="T82" s="45">
        <v>34989.920000000006</v>
      </c>
      <c r="U82" s="45">
        <v>4664.1099999999997</v>
      </c>
      <c r="V82" s="45">
        <v>14627.529999999999</v>
      </c>
      <c r="W82" s="45">
        <v>1368327.2200000002</v>
      </c>
      <c r="X82" s="45">
        <v>226962.61000000002</v>
      </c>
      <c r="Y82" s="45">
        <v>71396.03</v>
      </c>
      <c r="Z82" s="45">
        <v>28000</v>
      </c>
      <c r="AA82" s="45">
        <v>20423.14</v>
      </c>
      <c r="AB82" s="45">
        <v>572690.57000000007</v>
      </c>
      <c r="AC82" s="45">
        <v>762319.00000000012</v>
      </c>
      <c r="AD82" s="45">
        <v>156382.13999999998</v>
      </c>
      <c r="AG82" s="45">
        <v>412801.18</v>
      </c>
      <c r="AH82" s="45">
        <v>5681.15</v>
      </c>
      <c r="AI82" s="45">
        <v>107616.43</v>
      </c>
      <c r="AJ82" s="45">
        <v>130005.29999999999</v>
      </c>
      <c r="AK82" s="45">
        <v>137653.26999999999</v>
      </c>
      <c r="AL82" s="45">
        <v>7808</v>
      </c>
      <c r="AM82" s="45">
        <v>11220</v>
      </c>
      <c r="AN82" s="45">
        <v>30162.47</v>
      </c>
      <c r="AO82" s="45">
        <v>5792.61</v>
      </c>
      <c r="AQ82" s="45">
        <v>25000</v>
      </c>
      <c r="AR82" s="45">
        <v>20647.03</v>
      </c>
      <c r="AS82" s="45">
        <v>5565</v>
      </c>
      <c r="AT82" s="45">
        <v>46532.24</v>
      </c>
      <c r="AV82" s="45">
        <v>14594.7</v>
      </c>
      <c r="AW82" s="45">
        <v>7767.4699999999993</v>
      </c>
      <c r="AX82" s="45">
        <v>588.17999999999995</v>
      </c>
      <c r="AY82" s="45">
        <v>1136736.7899999998</v>
      </c>
      <c r="AZ82" s="45">
        <v>183155.96999999997</v>
      </c>
      <c r="BA82" s="45">
        <v>235000</v>
      </c>
      <c r="BE82" s="2">
        <f t="shared" si="3"/>
        <v>15934303.919999994</v>
      </c>
      <c r="BG82" s="341"/>
      <c r="BH82" s="341">
        <v>641.33000000000004</v>
      </c>
      <c r="BI82" s="341">
        <v>560866.05000000005</v>
      </c>
      <c r="BJ82" s="341"/>
      <c r="BK82" s="341"/>
      <c r="BL82" s="341">
        <v>1314.64</v>
      </c>
      <c r="BM82" s="341">
        <v>32041.63</v>
      </c>
      <c r="BN82" s="341">
        <v>3116.97</v>
      </c>
      <c r="BO82" s="341">
        <v>1003554.6000000003</v>
      </c>
      <c r="BP82" s="341">
        <v>1173.54</v>
      </c>
      <c r="BQ82" s="341"/>
      <c r="BR82" s="341">
        <v>515000</v>
      </c>
      <c r="BS82" s="341">
        <v>68750</v>
      </c>
      <c r="BT82" s="341"/>
      <c r="BU82" s="341"/>
      <c r="BV82" s="341"/>
      <c r="BW82" s="341"/>
      <c r="BX82" s="341">
        <v>15035</v>
      </c>
      <c r="BY82" s="341">
        <v>50283.46</v>
      </c>
      <c r="BZ82" s="341"/>
      <c r="CA82" s="341"/>
      <c r="CB82" s="347"/>
      <c r="CC82" s="341"/>
      <c r="CD82" s="341"/>
      <c r="CE82" s="341">
        <v>9619.5</v>
      </c>
      <c r="CF82" s="341">
        <v>1076.5</v>
      </c>
      <c r="CG82" s="341"/>
      <c r="CH82" s="341">
        <v>567358</v>
      </c>
      <c r="CI82" s="341">
        <v>151284.6</v>
      </c>
      <c r="CJ82" s="341">
        <v>1871.25</v>
      </c>
      <c r="CK82" s="341"/>
      <c r="CL82" s="341"/>
      <c r="CM82" s="341">
        <v>17972.059999999998</v>
      </c>
      <c r="CN82" s="341"/>
      <c r="CO82" s="341">
        <v>320000</v>
      </c>
      <c r="CP82" s="347">
        <v>16149</v>
      </c>
      <c r="CQ82" s="341"/>
      <c r="CR82" s="342">
        <f t="shared" si="4"/>
        <v>2742244.4800000004</v>
      </c>
    </row>
    <row r="83" spans="1:96" x14ac:dyDescent="0.25">
      <c r="A83" s="45" t="s">
        <v>411</v>
      </c>
      <c r="B83" s="45">
        <v>-86044.530000000013</v>
      </c>
      <c r="C83" s="45">
        <v>-16723.03</v>
      </c>
      <c r="D83" s="45">
        <v>235765.00000000003</v>
      </c>
      <c r="E83" s="45">
        <v>36133.930000000008</v>
      </c>
      <c r="G83" s="45">
        <v>174580.06</v>
      </c>
      <c r="H83" s="45">
        <v>6576422</v>
      </c>
      <c r="I83" s="45">
        <v>990</v>
      </c>
      <c r="J83" s="45">
        <v>653954.79</v>
      </c>
      <c r="K83" s="45">
        <v>1846583.9399999997</v>
      </c>
      <c r="L83" s="45">
        <v>3170757.1000000006</v>
      </c>
      <c r="M83" s="45">
        <v>1178895.0100000002</v>
      </c>
      <c r="N83" s="45">
        <v>49961.02</v>
      </c>
      <c r="O83" s="45">
        <v>998171.82000000007</v>
      </c>
      <c r="P83" s="45">
        <v>6229.71</v>
      </c>
      <c r="Q83" s="45">
        <v>90772.800000000003</v>
      </c>
      <c r="R83" s="45">
        <v>64394.200000000004</v>
      </c>
      <c r="S83" s="45">
        <v>1811981.3100000003</v>
      </c>
      <c r="T83" s="45">
        <v>63407.32</v>
      </c>
      <c r="U83" s="45">
        <v>26214.12</v>
      </c>
      <c r="V83" s="45">
        <v>21978.739999999998</v>
      </c>
      <c r="W83" s="45">
        <v>1905961.48</v>
      </c>
      <c r="X83" s="45">
        <v>353284.03</v>
      </c>
      <c r="Z83" s="45">
        <v>12597.029999999999</v>
      </c>
      <c r="AA83" s="45">
        <v>24151.41</v>
      </c>
      <c r="AB83" s="45">
        <v>580509.34</v>
      </c>
      <c r="AC83" s="45">
        <v>1267034.0000000002</v>
      </c>
      <c r="AD83" s="45">
        <v>259919.38999999998</v>
      </c>
      <c r="AG83" s="45">
        <v>546096.56000000006</v>
      </c>
      <c r="AH83" s="45">
        <v>3705.1</v>
      </c>
      <c r="AI83" s="45">
        <v>72043.19</v>
      </c>
      <c r="AJ83" s="45">
        <v>168201.79999999996</v>
      </c>
      <c r="AK83" s="45">
        <v>180224.38000000003</v>
      </c>
      <c r="AL83" s="45">
        <v>10957.75</v>
      </c>
      <c r="AM83" s="45">
        <v>15607.25</v>
      </c>
      <c r="AN83" s="45">
        <v>56395.78</v>
      </c>
      <c r="AO83" s="45">
        <v>7691.74</v>
      </c>
      <c r="AR83" s="45">
        <v>28218.79</v>
      </c>
      <c r="AS83" s="45">
        <v>11526</v>
      </c>
      <c r="AT83" s="45">
        <v>184280.09</v>
      </c>
      <c r="AV83" s="45">
        <v>25454.9</v>
      </c>
      <c r="AW83" s="45">
        <v>73934.080000000002</v>
      </c>
      <c r="AX83" s="45">
        <v>1176.3599999999999</v>
      </c>
      <c r="AY83" s="45">
        <v>1384516.4799999997</v>
      </c>
      <c r="AZ83" s="45">
        <v>366311.93999999994</v>
      </c>
      <c r="BA83" s="45">
        <v>192000</v>
      </c>
      <c r="BB83" s="45">
        <v>266346.19999999995</v>
      </c>
      <c r="BE83" s="2">
        <f t="shared" si="3"/>
        <v>24902570.380000003</v>
      </c>
      <c r="BG83" s="341"/>
      <c r="BH83" s="341">
        <v>1282.6500000000001</v>
      </c>
      <c r="BI83" s="341">
        <v>556161.74</v>
      </c>
      <c r="BJ83" s="341"/>
      <c r="BK83" s="341"/>
      <c r="BL83" s="341">
        <v>1009.88</v>
      </c>
      <c r="BM83" s="341">
        <v>25391.48</v>
      </c>
      <c r="BN83" s="341">
        <v>18835.900000000001</v>
      </c>
      <c r="BO83" s="341">
        <v>1363800.7900000005</v>
      </c>
      <c r="BP83" s="341">
        <v>853.11</v>
      </c>
      <c r="BQ83" s="341"/>
      <c r="BR83" s="341">
        <v>140000</v>
      </c>
      <c r="BS83" s="341">
        <v>103950</v>
      </c>
      <c r="BT83" s="341"/>
      <c r="BU83" s="341"/>
      <c r="BV83" s="341"/>
      <c r="BW83" s="341"/>
      <c r="BX83" s="341">
        <v>33161</v>
      </c>
      <c r="BY83" s="341">
        <v>48607.35</v>
      </c>
      <c r="BZ83" s="341"/>
      <c r="CA83" s="341"/>
      <c r="CB83" s="347"/>
      <c r="CC83" s="341"/>
      <c r="CD83" s="341"/>
      <c r="CE83" s="341">
        <v>391225.06</v>
      </c>
      <c r="CF83" s="341">
        <v>1076.5</v>
      </c>
      <c r="CG83" s="341"/>
      <c r="CH83" s="341">
        <v>774751.19000000006</v>
      </c>
      <c r="CI83" s="341"/>
      <c r="CJ83" s="341"/>
      <c r="CK83" s="341"/>
      <c r="CL83" s="341"/>
      <c r="CM83" s="341"/>
      <c r="CN83" s="341"/>
      <c r="CO83" s="341"/>
      <c r="CP83" s="347">
        <v>25862</v>
      </c>
      <c r="CQ83" s="341"/>
      <c r="CR83" s="342">
        <f t="shared" si="4"/>
        <v>2902122.9000000004</v>
      </c>
    </row>
    <row r="84" spans="1:96" x14ac:dyDescent="0.25">
      <c r="A84" s="45" t="s">
        <v>412</v>
      </c>
      <c r="B84" s="45">
        <v>-37540.93</v>
      </c>
      <c r="D84" s="45">
        <v>377224</v>
      </c>
      <c r="E84" s="45">
        <v>53359.199999999983</v>
      </c>
      <c r="G84" s="45">
        <v>203676.72999999998</v>
      </c>
      <c r="H84" s="45">
        <v>6606788</v>
      </c>
      <c r="I84" s="45">
        <v>110</v>
      </c>
      <c r="J84" s="45">
        <v>801702.07000000007</v>
      </c>
      <c r="K84" s="45">
        <v>2332283.3800000004</v>
      </c>
      <c r="L84" s="45">
        <v>4228735.1000000006</v>
      </c>
      <c r="M84" s="45">
        <v>1275050.4200000002</v>
      </c>
      <c r="N84" s="45">
        <v>42406.8</v>
      </c>
      <c r="O84" s="45">
        <v>515104.14000000007</v>
      </c>
      <c r="P84" s="45">
        <v>7176.24</v>
      </c>
      <c r="Q84" s="45">
        <v>52293.149999999994</v>
      </c>
      <c r="R84" s="45">
        <v>75442.02</v>
      </c>
      <c r="S84" s="45">
        <v>904971.18999999983</v>
      </c>
      <c r="T84" s="45">
        <v>41392.430000000008</v>
      </c>
      <c r="U84" s="45">
        <v>35790.68</v>
      </c>
      <c r="V84" s="45">
        <v>25238.18</v>
      </c>
      <c r="W84" s="45">
        <v>2555445.21</v>
      </c>
      <c r="X84" s="45">
        <v>257075.16000000003</v>
      </c>
      <c r="AA84" s="45">
        <v>31312.15</v>
      </c>
      <c r="AB84" s="45">
        <v>496807.65000000008</v>
      </c>
      <c r="AC84" s="45">
        <v>2066583.9999999998</v>
      </c>
      <c r="AD84" s="45">
        <v>423939.1</v>
      </c>
      <c r="AG84" s="45">
        <v>411138.57999999996</v>
      </c>
      <c r="AH84" s="45">
        <v>4940.13</v>
      </c>
      <c r="AI84" s="45">
        <v>107889.81</v>
      </c>
      <c r="AJ84" s="45">
        <v>227154.96000000002</v>
      </c>
      <c r="AK84" s="45">
        <v>171288.46999999997</v>
      </c>
      <c r="AL84" s="45">
        <v>16107.75</v>
      </c>
      <c r="AM84" s="45">
        <v>11679</v>
      </c>
      <c r="AN84" s="45">
        <v>37834.560000000005</v>
      </c>
      <c r="AO84" s="45">
        <v>11660.23</v>
      </c>
      <c r="AR84" s="45">
        <v>38367.360000000001</v>
      </c>
      <c r="AS84" s="45">
        <v>17872</v>
      </c>
      <c r="AT84" s="45">
        <v>285901.49</v>
      </c>
      <c r="AV84" s="45">
        <v>16474.349999999999</v>
      </c>
      <c r="AW84" s="45">
        <v>50218.98</v>
      </c>
      <c r="AX84" s="45">
        <v>882.27</v>
      </c>
      <c r="AY84" s="45">
        <v>838431.42000000016</v>
      </c>
      <c r="AZ84" s="45">
        <v>252597.97999999998</v>
      </c>
      <c r="BA84" s="45">
        <v>200000</v>
      </c>
      <c r="BE84" s="2">
        <f t="shared" si="3"/>
        <v>26072805.409999996</v>
      </c>
      <c r="BG84" s="341"/>
      <c r="BH84" s="341">
        <v>641.33000000000004</v>
      </c>
      <c r="BI84" s="341">
        <v>548647.91</v>
      </c>
      <c r="BJ84" s="341"/>
      <c r="BK84" s="341"/>
      <c r="BL84" s="341">
        <v>741.61</v>
      </c>
      <c r="BM84" s="341">
        <v>25996.04</v>
      </c>
      <c r="BN84" s="341">
        <v>2348.0100000000002</v>
      </c>
      <c r="BO84" s="341">
        <v>2066907.6</v>
      </c>
      <c r="BP84" s="341">
        <v>682.74</v>
      </c>
      <c r="BQ84" s="341"/>
      <c r="BR84" s="341"/>
      <c r="BS84" s="341">
        <v>164725</v>
      </c>
      <c r="BT84" s="341"/>
      <c r="BU84" s="341"/>
      <c r="BV84" s="341">
        <v>9715.73</v>
      </c>
      <c r="BW84" s="341"/>
      <c r="BX84" s="341"/>
      <c r="BY84" s="341">
        <v>28493.96</v>
      </c>
      <c r="BZ84" s="341"/>
      <c r="CA84" s="341"/>
      <c r="CB84" s="347"/>
      <c r="CC84" s="341"/>
      <c r="CD84" s="341"/>
      <c r="CE84" s="341">
        <v>859341.99999999977</v>
      </c>
      <c r="CF84" s="341">
        <v>1076.5</v>
      </c>
      <c r="CG84" s="341">
        <v>153089.43</v>
      </c>
      <c r="CH84" s="341"/>
      <c r="CI84" s="341">
        <v>223161.68000000002</v>
      </c>
      <c r="CJ84" s="341">
        <v>1903.73</v>
      </c>
      <c r="CK84" s="341"/>
      <c r="CL84" s="341"/>
      <c r="CM84" s="341"/>
      <c r="CN84" s="341"/>
      <c r="CO84" s="341"/>
      <c r="CP84" s="347">
        <v>26372</v>
      </c>
      <c r="CQ84" s="341"/>
      <c r="CR84" s="342">
        <f t="shared" si="4"/>
        <v>3537818.3800000004</v>
      </c>
    </row>
    <row r="85" spans="1:96" x14ac:dyDescent="0.25">
      <c r="A85" s="45" t="s">
        <v>413</v>
      </c>
      <c r="B85" s="45">
        <v>-180200.36000000002</v>
      </c>
      <c r="C85" s="45">
        <v>-20879.03</v>
      </c>
      <c r="D85" s="45">
        <v>895907</v>
      </c>
      <c r="E85" s="45">
        <v>125216.40999999999</v>
      </c>
      <c r="G85" s="45">
        <v>494643.49000000005</v>
      </c>
      <c r="H85" s="45">
        <v>19574325</v>
      </c>
      <c r="I85" s="45">
        <v>516.18000000000006</v>
      </c>
      <c r="J85" s="45">
        <v>2080775.0099999998</v>
      </c>
      <c r="K85" s="45">
        <v>6238829.7899999991</v>
      </c>
      <c r="L85" s="45">
        <v>10445207.6</v>
      </c>
      <c r="M85" s="45">
        <v>4103961.8500000006</v>
      </c>
      <c r="N85" s="45">
        <v>131247.04000000001</v>
      </c>
      <c r="O85" s="45">
        <v>2142209.79</v>
      </c>
      <c r="P85" s="45">
        <v>33084.54</v>
      </c>
      <c r="Q85" s="45">
        <v>148834.18000000002</v>
      </c>
      <c r="R85" s="45">
        <v>105874.21</v>
      </c>
      <c r="S85" s="45">
        <v>4737949.57</v>
      </c>
      <c r="T85" s="45">
        <v>123479.83999999998</v>
      </c>
      <c r="U85" s="45">
        <v>125477.12</v>
      </c>
      <c r="V85" s="45">
        <v>48138.09</v>
      </c>
      <c r="W85" s="45">
        <v>5427824.0900000008</v>
      </c>
      <c r="X85" s="45">
        <v>1038917.29</v>
      </c>
      <c r="Y85" s="45">
        <v>54485.98</v>
      </c>
      <c r="Z85" s="45">
        <v>37202</v>
      </c>
      <c r="AA85" s="45">
        <v>58864.75</v>
      </c>
      <c r="AB85" s="45">
        <v>1794053.7700000003</v>
      </c>
      <c r="AC85" s="45">
        <v>4209071</v>
      </c>
      <c r="AD85" s="45">
        <v>863448.93</v>
      </c>
      <c r="AG85" s="45">
        <v>1594437.8900000001</v>
      </c>
      <c r="AH85" s="45">
        <v>20995.55</v>
      </c>
      <c r="AI85" s="45">
        <v>245971.81</v>
      </c>
      <c r="AJ85" s="45">
        <v>557177.11</v>
      </c>
      <c r="AK85" s="45">
        <v>504728.66999999993</v>
      </c>
      <c r="AL85" s="45">
        <v>36981.25</v>
      </c>
      <c r="AM85" s="45">
        <v>60185</v>
      </c>
      <c r="AN85" s="45">
        <v>52576.49</v>
      </c>
      <c r="AO85" s="45">
        <v>25932.52</v>
      </c>
      <c r="AQ85" s="45">
        <v>3269.15</v>
      </c>
      <c r="AR85" s="45">
        <v>86781.42</v>
      </c>
      <c r="AS85" s="45">
        <v>23104</v>
      </c>
      <c r="AT85" s="45">
        <v>672934.64000000025</v>
      </c>
      <c r="AU85" s="45">
        <v>115905</v>
      </c>
      <c r="AV85" s="45">
        <v>89780.7</v>
      </c>
      <c r="AW85" s="45">
        <v>323392.54999999993</v>
      </c>
      <c r="AX85" s="45">
        <v>1764.54</v>
      </c>
      <c r="AY85" s="45">
        <v>3881024.9699999997</v>
      </c>
      <c r="AZ85" s="45">
        <v>781465.47</v>
      </c>
      <c r="BA85" s="45">
        <v>72000</v>
      </c>
      <c r="BE85" s="2">
        <f t="shared" si="3"/>
        <v>73988873.860000014</v>
      </c>
      <c r="BG85" s="341">
        <v>1926.03</v>
      </c>
      <c r="BH85" s="341">
        <v>3206.63</v>
      </c>
      <c r="BI85" s="341">
        <v>1125658.5</v>
      </c>
      <c r="BJ85" s="341"/>
      <c r="BK85" s="341"/>
      <c r="BL85" s="341">
        <v>2926.45</v>
      </c>
      <c r="BM85" s="341">
        <v>55014.879999999997</v>
      </c>
      <c r="BN85" s="341">
        <v>39976.32</v>
      </c>
      <c r="BO85" s="341">
        <v>4205439.8599999994</v>
      </c>
      <c r="BP85" s="341">
        <v>2758.04</v>
      </c>
      <c r="BQ85" s="341"/>
      <c r="BR85" s="341">
        <v>345000</v>
      </c>
      <c r="BS85" s="341">
        <v>355025</v>
      </c>
      <c r="BT85" s="341"/>
      <c r="BU85" s="341">
        <v>5063.5200000000004</v>
      </c>
      <c r="BV85" s="341">
        <v>17500</v>
      </c>
      <c r="BW85" s="341"/>
      <c r="BX85" s="341"/>
      <c r="BY85" s="341">
        <v>181020.46</v>
      </c>
      <c r="BZ85" s="341"/>
      <c r="CA85" s="341"/>
      <c r="CB85" s="347"/>
      <c r="CC85" s="341"/>
      <c r="CD85" s="341"/>
      <c r="CE85" s="341">
        <v>1270530.78</v>
      </c>
      <c r="CF85" s="341">
        <v>1076.5</v>
      </c>
      <c r="CG85" s="341">
        <v>641987.93000000005</v>
      </c>
      <c r="CH85" s="341"/>
      <c r="CI85" s="341">
        <v>409182.9</v>
      </c>
      <c r="CJ85" s="341">
        <v>63270.28</v>
      </c>
      <c r="CK85" s="341"/>
      <c r="CL85" s="341"/>
      <c r="CM85" s="341"/>
      <c r="CN85" s="341"/>
      <c r="CO85" s="341"/>
      <c r="CP85" s="347">
        <v>77573</v>
      </c>
      <c r="CQ85" s="341"/>
      <c r="CR85" s="342">
        <f t="shared" si="4"/>
        <v>7615404.5899999999</v>
      </c>
    </row>
    <row r="86" spans="1:96" x14ac:dyDescent="0.25">
      <c r="A86" s="45" t="s">
        <v>414</v>
      </c>
      <c r="B86" s="45">
        <v>-115738.58</v>
      </c>
      <c r="C86" s="45">
        <v>-32900.050000000003</v>
      </c>
      <c r="D86" s="45">
        <v>518683.00000000006</v>
      </c>
      <c r="E86" s="45">
        <v>111423.57999999999</v>
      </c>
      <c r="G86" s="45">
        <v>261870.08000000002</v>
      </c>
      <c r="H86" s="45">
        <v>18141700</v>
      </c>
      <c r="I86" s="45">
        <v>108.32</v>
      </c>
      <c r="J86" s="45">
        <v>2323552.96</v>
      </c>
      <c r="K86" s="45">
        <v>6935934.2400000002</v>
      </c>
      <c r="L86" s="45">
        <v>11644924.480000002</v>
      </c>
      <c r="M86" s="45">
        <v>2178900.7000000002</v>
      </c>
      <c r="N86" s="45">
        <v>78079.81</v>
      </c>
      <c r="O86" s="45">
        <v>1251951.1599999999</v>
      </c>
      <c r="P86" s="45">
        <v>3100.4500000000003</v>
      </c>
      <c r="Q86" s="45">
        <v>147164.43</v>
      </c>
      <c r="R86" s="45">
        <v>51215.819999999985</v>
      </c>
      <c r="S86" s="45">
        <v>3018289.02</v>
      </c>
      <c r="T86" s="45">
        <v>116309.32999999999</v>
      </c>
      <c r="U86" s="45">
        <v>57273.380000000012</v>
      </c>
      <c r="V86" s="45">
        <v>58975.170000000006</v>
      </c>
      <c r="W86" s="45">
        <v>8033366.8100000005</v>
      </c>
      <c r="X86" s="45">
        <v>819068.11999999988</v>
      </c>
      <c r="AA86" s="45">
        <v>53313.63</v>
      </c>
      <c r="AB86" s="45">
        <v>646051.91</v>
      </c>
      <c r="AC86" s="45">
        <v>3725632</v>
      </c>
      <c r="AD86" s="45">
        <v>764276.24</v>
      </c>
      <c r="AG86" s="45">
        <v>871924.95000000007</v>
      </c>
      <c r="AH86" s="45">
        <v>18525.490000000002</v>
      </c>
      <c r="AI86" s="45">
        <v>214522.13</v>
      </c>
      <c r="AJ86" s="45">
        <v>447937.42</v>
      </c>
      <c r="AK86" s="45">
        <v>428723.17999999993</v>
      </c>
      <c r="AL86" s="45">
        <v>30295.75</v>
      </c>
      <c r="AM86" s="45">
        <v>63805</v>
      </c>
      <c r="AN86" s="45">
        <v>46685.17</v>
      </c>
      <c r="AO86" s="45">
        <v>22216.31</v>
      </c>
      <c r="AR86" s="45">
        <v>50559</v>
      </c>
      <c r="AS86" s="45">
        <v>16448</v>
      </c>
      <c r="AT86" s="45">
        <v>1359184.28</v>
      </c>
      <c r="AV86" s="45">
        <v>25454.9</v>
      </c>
      <c r="AW86" s="45">
        <v>229741.83</v>
      </c>
      <c r="AY86" s="45">
        <v>1351485.6999999997</v>
      </c>
      <c r="AZ86" s="45">
        <v>549467.90999999992</v>
      </c>
      <c r="BA86" s="45">
        <v>86388</v>
      </c>
      <c r="BE86" s="2">
        <f t="shared" si="3"/>
        <v>66605891.030000031</v>
      </c>
      <c r="BG86" s="341"/>
      <c r="BH86" s="341">
        <v>2565.2800000000002</v>
      </c>
      <c r="BI86" s="341">
        <v>684173.80999999994</v>
      </c>
      <c r="BJ86" s="341"/>
      <c r="BK86" s="341">
        <v>112</v>
      </c>
      <c r="BL86" s="341">
        <v>396.91</v>
      </c>
      <c r="BM86" s="341">
        <v>36273.56</v>
      </c>
      <c r="BN86" s="341">
        <v>10427.65</v>
      </c>
      <c r="BO86" s="341">
        <v>2957066.83</v>
      </c>
      <c r="BP86" s="341">
        <v>1127.48</v>
      </c>
      <c r="BQ86" s="341"/>
      <c r="BR86" s="341"/>
      <c r="BS86" s="341">
        <v>303600</v>
      </c>
      <c r="BT86" s="341"/>
      <c r="BU86" s="341"/>
      <c r="BV86" s="341"/>
      <c r="BW86" s="341"/>
      <c r="BX86" s="341"/>
      <c r="BY86" s="341">
        <v>45255.11</v>
      </c>
      <c r="BZ86" s="341">
        <v>5225</v>
      </c>
      <c r="CA86" s="341">
        <v>10000</v>
      </c>
      <c r="CB86" s="347"/>
      <c r="CC86" s="341"/>
      <c r="CD86" s="341"/>
      <c r="CE86" s="341">
        <v>1521078.01</v>
      </c>
      <c r="CF86" s="341">
        <v>1076.5</v>
      </c>
      <c r="CG86" s="341">
        <v>197534.75000000003</v>
      </c>
      <c r="CH86" s="341"/>
      <c r="CI86" s="341"/>
      <c r="CJ86" s="341"/>
      <c r="CK86" s="341"/>
      <c r="CL86" s="341"/>
      <c r="CM86" s="341"/>
      <c r="CN86" s="341"/>
      <c r="CO86" s="341"/>
      <c r="CP86" s="347">
        <v>72434</v>
      </c>
      <c r="CQ86" s="341"/>
      <c r="CR86" s="342">
        <f t="shared" si="4"/>
        <v>5124825.33</v>
      </c>
    </row>
    <row r="87" spans="1:96" x14ac:dyDescent="0.25">
      <c r="A87" s="88" t="s">
        <v>415</v>
      </c>
      <c r="B87" s="45">
        <f>SUM(B6:B86)</f>
        <v>-9044054.2599999998</v>
      </c>
      <c r="C87" s="45">
        <f t="shared" ref="C87:BD87" si="5">SUM(C6:C86)</f>
        <v>-1517752.8100000005</v>
      </c>
      <c r="D87" s="45">
        <f t="shared" si="5"/>
        <v>30276941</v>
      </c>
      <c r="E87" s="45">
        <f t="shared" si="5"/>
        <v>5385835.9300000025</v>
      </c>
      <c r="F87" s="45">
        <f t="shared" si="5"/>
        <v>36653.75</v>
      </c>
      <c r="G87" s="45">
        <f t="shared" si="5"/>
        <v>19960319.649999987</v>
      </c>
      <c r="H87" s="45">
        <f t="shared" si="5"/>
        <v>773889034</v>
      </c>
      <c r="I87" s="45">
        <f t="shared" si="5"/>
        <v>19369.170000000002</v>
      </c>
      <c r="J87" s="45">
        <f t="shared" si="5"/>
        <v>82980544.49999997</v>
      </c>
      <c r="K87" s="45">
        <f t="shared" si="5"/>
        <v>247434031.11999997</v>
      </c>
      <c r="L87" s="45">
        <f t="shared" si="5"/>
        <v>433853516.85000014</v>
      </c>
      <c r="M87" s="45">
        <f t="shared" si="5"/>
        <v>137667879.59</v>
      </c>
      <c r="N87" s="45">
        <f t="shared" si="5"/>
        <v>6468963.5199999996</v>
      </c>
      <c r="O87" s="45">
        <f t="shared" si="5"/>
        <v>95914004.729999989</v>
      </c>
      <c r="P87" s="45">
        <f t="shared" si="5"/>
        <v>1170176.1699999997</v>
      </c>
      <c r="Q87" s="45">
        <f t="shared" si="5"/>
        <v>7507120.620000001</v>
      </c>
      <c r="R87" s="45">
        <f t="shared" si="5"/>
        <v>8176568.1500000041</v>
      </c>
      <c r="S87" s="45">
        <f t="shared" si="5"/>
        <v>150697513.32000002</v>
      </c>
      <c r="T87" s="45">
        <f t="shared" si="5"/>
        <v>4809760.46</v>
      </c>
      <c r="U87" s="45">
        <f t="shared" si="5"/>
        <v>3371031.84</v>
      </c>
      <c r="V87" s="45">
        <f t="shared" si="5"/>
        <v>2682689.2099999995</v>
      </c>
      <c r="W87" s="45">
        <f t="shared" si="5"/>
        <v>232745761.52000004</v>
      </c>
      <c r="X87" s="45">
        <f t="shared" si="5"/>
        <v>40882251.979999989</v>
      </c>
      <c r="Y87" s="45">
        <f t="shared" si="5"/>
        <v>930268.55</v>
      </c>
      <c r="Z87" s="45">
        <f t="shared" si="5"/>
        <v>961776.47</v>
      </c>
      <c r="AA87" s="45">
        <f t="shared" si="5"/>
        <v>2901647.09</v>
      </c>
      <c r="AB87" s="45">
        <f t="shared" si="5"/>
        <v>76970688.379999965</v>
      </c>
      <c r="AC87" s="45">
        <f t="shared" si="5"/>
        <v>175047049</v>
      </c>
      <c r="AD87" s="45">
        <f t="shared" si="5"/>
        <v>35909156.169999987</v>
      </c>
      <c r="AE87" s="45">
        <f t="shared" si="5"/>
        <v>26303.75</v>
      </c>
      <c r="AF87" s="45">
        <f t="shared" si="5"/>
        <v>-1151.5899999999999</v>
      </c>
      <c r="AG87" s="45">
        <f t="shared" si="5"/>
        <v>62830253.709999986</v>
      </c>
      <c r="AH87" s="45">
        <f t="shared" si="5"/>
        <v>840069.12000000034</v>
      </c>
      <c r="AI87" s="45">
        <f t="shared" si="5"/>
        <v>11405566.83</v>
      </c>
      <c r="AJ87" s="45">
        <f t="shared" si="5"/>
        <v>23543476.100000005</v>
      </c>
      <c r="AK87" s="45">
        <f t="shared" si="5"/>
        <v>18753550.630000003</v>
      </c>
      <c r="AL87" s="45">
        <f t="shared" si="5"/>
        <v>1444302.75</v>
      </c>
      <c r="AM87" s="45">
        <f t="shared" si="5"/>
        <v>2205453</v>
      </c>
      <c r="AN87" s="45">
        <f t="shared" si="5"/>
        <v>3028921.4600000009</v>
      </c>
      <c r="AO87" s="45">
        <f t="shared" si="5"/>
        <v>1074276.75</v>
      </c>
      <c r="AP87" s="45">
        <f t="shared" si="5"/>
        <v>2400000</v>
      </c>
      <c r="AQ87" s="45">
        <f t="shared" si="5"/>
        <v>2411803.09</v>
      </c>
      <c r="AR87" s="45">
        <f t="shared" si="5"/>
        <v>3090312.56</v>
      </c>
      <c r="AS87" s="45">
        <f t="shared" si="5"/>
        <v>1130381.3</v>
      </c>
      <c r="AT87" s="45">
        <f t="shared" si="5"/>
        <v>32132611.149999995</v>
      </c>
      <c r="AU87" s="45">
        <f t="shared" si="5"/>
        <v>932566</v>
      </c>
      <c r="AV87" s="45">
        <f t="shared" si="5"/>
        <v>2944778.75</v>
      </c>
      <c r="AW87" s="45">
        <f t="shared" si="5"/>
        <v>14656688.529999997</v>
      </c>
      <c r="AX87" s="45">
        <f t="shared" si="5"/>
        <v>84697.819999999934</v>
      </c>
      <c r="AY87" s="45">
        <f t="shared" si="5"/>
        <v>155549181.00999993</v>
      </c>
      <c r="AZ87" s="45">
        <f t="shared" si="5"/>
        <v>38107476.329999998</v>
      </c>
      <c r="BA87" s="45">
        <f t="shared" si="5"/>
        <v>14403069</v>
      </c>
      <c r="BB87" s="45">
        <f>SUM(BB6:BB86)</f>
        <v>3303927.1400000006</v>
      </c>
      <c r="BC87" s="45">
        <f t="shared" si="5"/>
        <v>272727.26</v>
      </c>
      <c r="BD87" s="45">
        <f t="shared" si="5"/>
        <v>40909.07</v>
      </c>
      <c r="BE87" s="91">
        <f>SUM(BE6:BE86)</f>
        <v>2964700897.190001</v>
      </c>
      <c r="BG87" s="341">
        <f t="shared" ref="BG87:BM87" si="6">SUM(BG6:BG86)</f>
        <v>214840.85999999993</v>
      </c>
      <c r="BH87" s="341">
        <f t="shared" si="6"/>
        <v>129548.00000000006</v>
      </c>
      <c r="BI87" s="341">
        <f t="shared" si="6"/>
        <v>56458077.00000003</v>
      </c>
      <c r="BJ87" s="341">
        <f t="shared" si="6"/>
        <v>319807.30000000005</v>
      </c>
      <c r="BK87" s="341">
        <f t="shared" si="6"/>
        <v>5080</v>
      </c>
      <c r="BL87" s="341">
        <f t="shared" si="6"/>
        <v>153136.00000000003</v>
      </c>
      <c r="BM87" s="341">
        <f t="shared" si="6"/>
        <v>2996195</v>
      </c>
      <c r="BN87" s="341">
        <f t="shared" ref="BN87:CB87" si="7">SUM(BN6:BN86)</f>
        <v>932224.7100000002</v>
      </c>
      <c r="BO87" s="341">
        <f t="shared" si="7"/>
        <v>184948982.72000006</v>
      </c>
      <c r="BP87" s="341">
        <f t="shared" si="7"/>
        <v>125444.80999999995</v>
      </c>
      <c r="BQ87" s="341">
        <f t="shared" si="7"/>
        <v>0</v>
      </c>
      <c r="BR87" s="341">
        <f t="shared" si="7"/>
        <v>16277589.4</v>
      </c>
      <c r="BS87" s="341">
        <f t="shared" si="7"/>
        <v>14717925</v>
      </c>
      <c r="BT87" s="341">
        <f t="shared" si="7"/>
        <v>249500</v>
      </c>
      <c r="BU87" s="341">
        <f t="shared" si="7"/>
        <v>113207.94000000002</v>
      </c>
      <c r="BV87" s="341">
        <f t="shared" si="7"/>
        <v>206989.89</v>
      </c>
      <c r="BW87" s="341">
        <f t="shared" si="7"/>
        <v>400002</v>
      </c>
      <c r="BX87" s="341">
        <f t="shared" si="7"/>
        <v>584537</v>
      </c>
      <c r="BY87" s="341">
        <f t="shared" si="7"/>
        <v>6659206.3499999987</v>
      </c>
      <c r="BZ87" s="341">
        <f t="shared" si="7"/>
        <v>61675</v>
      </c>
      <c r="CA87" s="341">
        <f t="shared" si="7"/>
        <v>100000</v>
      </c>
      <c r="CB87" s="347">
        <f t="shared" si="7"/>
        <v>0</v>
      </c>
      <c r="CC87" s="341"/>
      <c r="CD87" s="341">
        <f>SUM(CD6:CD86)</f>
        <v>13076461.040000001</v>
      </c>
      <c r="CE87" s="341">
        <f>SUM(CE6:CE86)</f>
        <v>43949113.259999998</v>
      </c>
      <c r="CF87" s="341">
        <f t="shared" ref="CF87:CP87" si="8">SUM(CF6:CF86)</f>
        <v>150710</v>
      </c>
      <c r="CG87" s="341">
        <f t="shared" si="8"/>
        <v>12901488.270000001</v>
      </c>
      <c r="CH87" s="341">
        <f t="shared" si="8"/>
        <v>31173721.369999997</v>
      </c>
      <c r="CI87" s="341">
        <f t="shared" si="8"/>
        <v>14315913.440000001</v>
      </c>
      <c r="CJ87" s="341">
        <f t="shared" si="8"/>
        <v>485556.28</v>
      </c>
      <c r="CK87" s="341">
        <f t="shared" si="8"/>
        <v>37036.800000000003</v>
      </c>
      <c r="CL87" s="341">
        <f t="shared" si="8"/>
        <v>39043.57</v>
      </c>
      <c r="CM87" s="341">
        <f t="shared" si="8"/>
        <v>566034.79</v>
      </c>
      <c r="CN87" s="341">
        <f t="shared" si="8"/>
        <v>120000</v>
      </c>
      <c r="CO87" s="341">
        <f t="shared" si="8"/>
        <v>4646000</v>
      </c>
      <c r="CP87" s="347">
        <f t="shared" si="8"/>
        <v>3078480</v>
      </c>
      <c r="CQ87" s="341"/>
      <c r="CR87" s="344">
        <f>SUM(CR6:CR86)</f>
        <v>349916843.64000005</v>
      </c>
    </row>
    <row r="88" spans="1:96" x14ac:dyDescent="0.25">
      <c r="BE88" s="2"/>
      <c r="BG88" s="341"/>
      <c r="BH88" s="341"/>
      <c r="BI88" s="341"/>
      <c r="BJ88" s="341"/>
      <c r="BK88" s="341"/>
      <c r="BL88" s="341"/>
      <c r="BM88" s="341"/>
      <c r="BN88" s="341"/>
      <c r="BO88" s="341"/>
      <c r="BP88" s="341"/>
      <c r="BQ88" s="341"/>
      <c r="BR88" s="341"/>
      <c r="BS88" s="341"/>
      <c r="BT88" s="341"/>
      <c r="BU88" s="341"/>
      <c r="BV88" s="341"/>
      <c r="BW88" s="341"/>
      <c r="BX88" s="341"/>
      <c r="BY88" s="341"/>
      <c r="BZ88" s="341"/>
      <c r="CA88" s="341"/>
      <c r="CB88" s="347"/>
      <c r="CC88" s="341"/>
      <c r="CD88" s="341"/>
      <c r="CE88" s="341"/>
      <c r="CF88" s="341"/>
      <c r="CG88" s="341"/>
      <c r="CH88" s="341"/>
      <c r="CI88" s="341"/>
      <c r="CJ88" s="341"/>
      <c r="CK88" s="341"/>
      <c r="CL88" s="341"/>
      <c r="CM88" s="341"/>
      <c r="CN88" s="341"/>
      <c r="CO88" s="341"/>
      <c r="CP88" s="347"/>
      <c r="CQ88" s="341"/>
      <c r="CR88" s="342"/>
    </row>
    <row r="89" spans="1:96" x14ac:dyDescent="0.25">
      <c r="A89" s="341" t="s">
        <v>626</v>
      </c>
      <c r="B89" s="341"/>
      <c r="C89" s="341"/>
      <c r="D89" s="341"/>
      <c r="E89" s="341"/>
      <c r="F89" s="341"/>
      <c r="G89" s="341"/>
      <c r="H89" s="341"/>
      <c r="I89" s="341"/>
      <c r="J89" s="341"/>
      <c r="K89" s="341"/>
      <c r="L89" s="341"/>
      <c r="M89" s="341"/>
      <c r="N89" s="341"/>
      <c r="O89" s="341"/>
      <c r="P89" s="341"/>
      <c r="Q89" s="341"/>
      <c r="R89" s="341"/>
      <c r="S89" s="341"/>
      <c r="T89" s="341"/>
      <c r="U89" s="341"/>
      <c r="V89" s="341"/>
      <c r="W89" s="341"/>
      <c r="X89" s="341"/>
      <c r="Y89" s="341"/>
      <c r="Z89" s="341"/>
      <c r="AA89" s="341"/>
      <c r="AB89" s="341"/>
      <c r="AC89" s="341"/>
      <c r="AD89" s="341"/>
      <c r="AE89" s="341"/>
      <c r="AF89" s="341"/>
      <c r="AG89" s="341"/>
      <c r="AH89" s="341"/>
      <c r="AI89" s="341"/>
      <c r="AJ89" s="341"/>
      <c r="AK89" s="341"/>
      <c r="AL89" s="341"/>
      <c r="AM89" s="341"/>
      <c r="AN89" s="341"/>
      <c r="AO89" s="341"/>
      <c r="AP89" s="341"/>
      <c r="AQ89" s="341"/>
      <c r="AR89" s="341"/>
      <c r="AS89" s="341"/>
      <c r="AT89" s="341"/>
      <c r="AU89" s="341"/>
      <c r="AV89" s="341"/>
      <c r="AW89" s="341"/>
      <c r="AX89" s="341"/>
      <c r="AY89" s="341"/>
      <c r="AZ89" s="341"/>
      <c r="BA89" s="341"/>
      <c r="BB89" s="341"/>
      <c r="BC89" s="341"/>
      <c r="BD89" s="341"/>
      <c r="BE89" s="342"/>
      <c r="BG89" s="341"/>
      <c r="BH89" s="341"/>
      <c r="BI89" s="341"/>
      <c r="BJ89" s="341"/>
      <c r="BK89" s="341"/>
      <c r="BL89" s="341"/>
      <c r="BM89" s="341"/>
      <c r="BN89" s="341"/>
      <c r="BO89" s="341"/>
      <c r="BP89" s="341"/>
      <c r="BQ89" s="341"/>
      <c r="BR89" s="341"/>
      <c r="BS89" s="341"/>
      <c r="BT89" s="341"/>
      <c r="BU89" s="341"/>
      <c r="BV89" s="341"/>
      <c r="BW89" s="341"/>
      <c r="BX89" s="341"/>
      <c r="BY89" s="341"/>
      <c r="BZ89" s="341"/>
      <c r="CA89" s="341"/>
      <c r="CB89" s="347"/>
      <c r="CC89" s="341"/>
      <c r="CD89" s="341"/>
      <c r="CE89" s="341"/>
      <c r="CF89" s="341"/>
      <c r="CG89" s="341"/>
      <c r="CH89" s="341"/>
      <c r="CI89" s="341"/>
      <c r="CJ89" s="341"/>
      <c r="CK89" s="341"/>
      <c r="CL89" s="341"/>
      <c r="CM89" s="341"/>
      <c r="CN89" s="341"/>
      <c r="CO89" s="341"/>
      <c r="CP89" s="347"/>
      <c r="CQ89" s="341"/>
      <c r="CR89" s="342"/>
    </row>
    <row r="90" spans="1:96" x14ac:dyDescent="0.25">
      <c r="A90" s="341" t="s">
        <v>416</v>
      </c>
      <c r="B90" s="341">
        <v>-164794.90999999997</v>
      </c>
      <c r="C90" s="341">
        <v>-18735.349999999999</v>
      </c>
      <c r="D90" s="341">
        <v>612989</v>
      </c>
      <c r="E90" s="341">
        <v>121759.75000000003</v>
      </c>
      <c r="F90" s="341"/>
      <c r="G90" s="341">
        <v>581933.52</v>
      </c>
      <c r="H90" s="341">
        <v>20451278</v>
      </c>
      <c r="I90" s="341">
        <v>165</v>
      </c>
      <c r="J90" s="341"/>
      <c r="K90" s="341"/>
      <c r="L90" s="341"/>
      <c r="M90" s="341"/>
      <c r="N90" s="341"/>
      <c r="O90" s="341"/>
      <c r="P90" s="341"/>
      <c r="Q90" s="341"/>
      <c r="R90" s="341"/>
      <c r="S90" s="341"/>
      <c r="T90" s="341"/>
      <c r="U90" s="341"/>
      <c r="V90" s="341"/>
      <c r="W90" s="341"/>
      <c r="X90" s="341"/>
      <c r="Y90" s="341"/>
      <c r="Z90" s="341">
        <v>10140.32</v>
      </c>
      <c r="AA90" s="341">
        <v>71189.11</v>
      </c>
      <c r="AB90" s="341">
        <v>1597189.9900000002</v>
      </c>
      <c r="AC90" s="341">
        <v>3060320</v>
      </c>
      <c r="AD90" s="341">
        <v>627794.12000000011</v>
      </c>
      <c r="AE90" s="341"/>
      <c r="AF90" s="341"/>
      <c r="AG90" s="341"/>
      <c r="AH90" s="341">
        <v>21983.58</v>
      </c>
      <c r="AI90" s="341">
        <v>295669.14</v>
      </c>
      <c r="AJ90" s="341">
        <v>554283.90999999992</v>
      </c>
      <c r="AK90" s="341">
        <v>156328.34000000003</v>
      </c>
      <c r="AL90" s="341">
        <v>65292</v>
      </c>
      <c r="AM90" s="341">
        <v>81760</v>
      </c>
      <c r="AN90" s="341"/>
      <c r="AO90" s="341">
        <v>31689.25</v>
      </c>
      <c r="AP90" s="341"/>
      <c r="AQ90" s="341">
        <v>29783.72</v>
      </c>
      <c r="AR90" s="341">
        <v>58653.35</v>
      </c>
      <c r="AS90" s="341">
        <v>34869.4</v>
      </c>
      <c r="AT90" s="341"/>
      <c r="AU90" s="341"/>
      <c r="AV90" s="341">
        <v>15221.25</v>
      </c>
      <c r="AW90" s="341"/>
      <c r="AX90" s="341">
        <v>294.08999999999997</v>
      </c>
      <c r="AY90" s="341"/>
      <c r="AZ90" s="341">
        <v>897486.79</v>
      </c>
      <c r="BA90" s="341">
        <v>356431</v>
      </c>
      <c r="BB90" s="341"/>
      <c r="BC90" s="341"/>
      <c r="BD90" s="341"/>
      <c r="BE90" s="342">
        <f>SUM(B90:BD90)</f>
        <v>29550974.369999997</v>
      </c>
      <c r="BG90" s="341"/>
      <c r="BH90" s="341"/>
      <c r="BI90" s="341"/>
      <c r="BJ90" s="341"/>
      <c r="BK90" s="341"/>
      <c r="BL90" s="341"/>
      <c r="BM90" s="341"/>
      <c r="BN90" s="341"/>
      <c r="BO90" s="341">
        <v>976984.52</v>
      </c>
      <c r="BP90" s="341">
        <v>878.49</v>
      </c>
      <c r="BQ90" s="341">
        <v>64302083.639999986</v>
      </c>
      <c r="BR90" s="341">
        <v>1000000</v>
      </c>
      <c r="BS90" s="341"/>
      <c r="BT90" s="341"/>
      <c r="BU90" s="341"/>
      <c r="BV90" s="341"/>
      <c r="BW90" s="341"/>
      <c r="BX90" s="341"/>
      <c r="BY90" s="341">
        <v>98890.76</v>
      </c>
      <c r="BZ90" s="341">
        <v>321750</v>
      </c>
      <c r="CA90" s="341"/>
      <c r="CB90" s="347">
        <v>80227886.700000003</v>
      </c>
      <c r="CC90" s="341"/>
      <c r="CD90" s="341"/>
      <c r="CE90" s="341">
        <v>374231.75999999995</v>
      </c>
      <c r="CF90" s="341">
        <v>1076.5</v>
      </c>
      <c r="CG90" s="341">
        <v>450214.60999999987</v>
      </c>
      <c r="CH90" s="341"/>
      <c r="CI90" s="341"/>
      <c r="CJ90" s="341"/>
      <c r="CK90" s="341"/>
      <c r="CL90" s="341"/>
      <c r="CM90" s="341"/>
      <c r="CN90" s="341"/>
      <c r="CO90" s="341"/>
      <c r="CP90" s="347">
        <v>80322</v>
      </c>
      <c r="CQ90" s="341"/>
      <c r="CR90" s="342">
        <f>SUM(B90:CP90)</f>
        <v>206936267.72</v>
      </c>
    </row>
    <row r="91" spans="1:96" x14ac:dyDescent="0.25">
      <c r="A91" s="341" t="s">
        <v>417</v>
      </c>
      <c r="B91" s="341"/>
      <c r="C91" s="341"/>
      <c r="D91" s="341">
        <v>377224</v>
      </c>
      <c r="E91" s="341">
        <v>14453.73</v>
      </c>
      <c r="F91" s="341"/>
      <c r="G91" s="341">
        <v>174580.06</v>
      </c>
      <c r="H91" s="341">
        <v>9110925.0000000019</v>
      </c>
      <c r="I91" s="341"/>
      <c r="J91" s="341"/>
      <c r="K91" s="341"/>
      <c r="L91" s="341"/>
      <c r="M91" s="341"/>
      <c r="N91" s="341"/>
      <c r="O91" s="341"/>
      <c r="P91" s="341"/>
      <c r="Q91" s="341"/>
      <c r="R91" s="341"/>
      <c r="S91" s="341"/>
      <c r="T91" s="341"/>
      <c r="U91" s="341"/>
      <c r="V91" s="341"/>
      <c r="W91" s="341"/>
      <c r="X91" s="341"/>
      <c r="Y91" s="341"/>
      <c r="Z91" s="341"/>
      <c r="AA91" s="341">
        <v>16697.73</v>
      </c>
      <c r="AB91" s="341">
        <v>859829.20000000007</v>
      </c>
      <c r="AC91" s="341">
        <v>1118705.0000000002</v>
      </c>
      <c r="AD91" s="341">
        <v>229491.16999999998</v>
      </c>
      <c r="AE91" s="341"/>
      <c r="AF91" s="341"/>
      <c r="AG91" s="341"/>
      <c r="AH91" s="341">
        <v>10127.27</v>
      </c>
      <c r="AI91" s="341">
        <v>119764.39999999998</v>
      </c>
      <c r="AJ91" s="341">
        <v>256853.46999999997</v>
      </c>
      <c r="AK91" s="341">
        <v>295889.28000000003</v>
      </c>
      <c r="AL91" s="341">
        <v>24682.5</v>
      </c>
      <c r="AM91" s="341"/>
      <c r="AN91" s="341"/>
      <c r="AO91" s="341">
        <v>15837.13</v>
      </c>
      <c r="AP91" s="341"/>
      <c r="AQ91" s="341">
        <v>20265.55</v>
      </c>
      <c r="AR91" s="341">
        <v>36553</v>
      </c>
      <c r="AS91" s="341">
        <v>5155</v>
      </c>
      <c r="AT91" s="341"/>
      <c r="AU91" s="341"/>
      <c r="AV91" s="341">
        <v>10000</v>
      </c>
      <c r="AW91" s="341"/>
      <c r="AX91" s="341">
        <v>294.08999999999997</v>
      </c>
      <c r="AY91" s="341"/>
      <c r="AZ91" s="341">
        <v>400692.87999999995</v>
      </c>
      <c r="BA91" s="341">
        <v>240500</v>
      </c>
      <c r="BB91" s="341"/>
      <c r="BC91" s="341"/>
      <c r="BD91" s="341"/>
      <c r="BE91" s="342">
        <f>SUM(B91:BD91)</f>
        <v>13338520.460000005</v>
      </c>
      <c r="BG91" s="341"/>
      <c r="BH91" s="341"/>
      <c r="BI91" s="341"/>
      <c r="BJ91" s="341"/>
      <c r="BK91" s="341"/>
      <c r="BL91" s="341"/>
      <c r="BM91" s="341"/>
      <c r="BN91" s="341"/>
      <c r="BO91" s="341">
        <v>495026.38999999996</v>
      </c>
      <c r="BP91" s="341">
        <v>363.73</v>
      </c>
      <c r="BQ91" s="341">
        <v>29177083.780000005</v>
      </c>
      <c r="BR91" s="341">
        <v>1225000</v>
      </c>
      <c r="BS91" s="341"/>
      <c r="BT91" s="341"/>
      <c r="BU91" s="341"/>
      <c r="BV91" s="341">
        <v>15000</v>
      </c>
      <c r="BW91" s="341"/>
      <c r="BX91" s="341">
        <v>18000</v>
      </c>
      <c r="BY91" s="341">
        <v>36874.54</v>
      </c>
      <c r="BZ91" s="341">
        <v>112750</v>
      </c>
      <c r="CA91" s="341"/>
      <c r="CB91" s="347">
        <v>30012882.879999999</v>
      </c>
      <c r="CC91" s="341"/>
      <c r="CD91" s="341"/>
      <c r="CE91" s="341">
        <v>229517.42999999996</v>
      </c>
      <c r="CF91" s="341">
        <v>1076.5</v>
      </c>
      <c r="CG91" s="341">
        <v>162143.12</v>
      </c>
      <c r="CH91" s="341"/>
      <c r="CI91" s="341"/>
      <c r="CJ91" s="341"/>
      <c r="CK91" s="341"/>
      <c r="CL91" s="341"/>
      <c r="CM91" s="341"/>
      <c r="CN91" s="341"/>
      <c r="CO91" s="341"/>
      <c r="CP91" s="347">
        <v>36446</v>
      </c>
      <c r="CQ91" s="341"/>
      <c r="CR91" s="342">
        <f>SUM(B91:CP91)</f>
        <v>88199205.290000021</v>
      </c>
    </row>
    <row r="92" spans="1:96" x14ac:dyDescent="0.25">
      <c r="A92" s="343" t="s">
        <v>418</v>
      </c>
      <c r="B92" s="341">
        <f>SUM(B90:B91)</f>
        <v>-164794.90999999997</v>
      </c>
      <c r="C92" s="341">
        <f t="shared" ref="C92:BD92" si="9">SUM(C90:C91)</f>
        <v>-18735.349999999999</v>
      </c>
      <c r="D92" s="341">
        <f t="shared" si="9"/>
        <v>990213</v>
      </c>
      <c r="E92" s="341">
        <f t="shared" si="9"/>
        <v>136213.48000000004</v>
      </c>
      <c r="F92" s="341">
        <f t="shared" si="9"/>
        <v>0</v>
      </c>
      <c r="G92" s="341">
        <f t="shared" si="9"/>
        <v>756513.58000000007</v>
      </c>
      <c r="H92" s="341">
        <f t="shared" si="9"/>
        <v>29562203</v>
      </c>
      <c r="I92" s="341">
        <f t="shared" si="9"/>
        <v>165</v>
      </c>
      <c r="J92" s="341">
        <f t="shared" si="9"/>
        <v>0</v>
      </c>
      <c r="K92" s="341">
        <f t="shared" si="9"/>
        <v>0</v>
      </c>
      <c r="L92" s="341">
        <f t="shared" si="9"/>
        <v>0</v>
      </c>
      <c r="M92" s="341">
        <f t="shared" si="9"/>
        <v>0</v>
      </c>
      <c r="N92" s="341">
        <f t="shared" si="9"/>
        <v>0</v>
      </c>
      <c r="O92" s="341">
        <f t="shared" si="9"/>
        <v>0</v>
      </c>
      <c r="P92" s="341">
        <f t="shared" si="9"/>
        <v>0</v>
      </c>
      <c r="Q92" s="341">
        <f t="shared" si="9"/>
        <v>0</v>
      </c>
      <c r="R92" s="341">
        <f t="shared" si="9"/>
        <v>0</v>
      </c>
      <c r="S92" s="341">
        <f t="shared" si="9"/>
        <v>0</v>
      </c>
      <c r="T92" s="341">
        <f t="shared" si="9"/>
        <v>0</v>
      </c>
      <c r="U92" s="341">
        <f t="shared" si="9"/>
        <v>0</v>
      </c>
      <c r="V92" s="341">
        <f t="shared" si="9"/>
        <v>0</v>
      </c>
      <c r="W92" s="341">
        <f t="shared" si="9"/>
        <v>0</v>
      </c>
      <c r="X92" s="341">
        <f t="shared" si="9"/>
        <v>0</v>
      </c>
      <c r="Y92" s="341">
        <f t="shared" si="9"/>
        <v>0</v>
      </c>
      <c r="Z92" s="341">
        <f t="shared" si="9"/>
        <v>10140.32</v>
      </c>
      <c r="AA92" s="341">
        <f t="shared" si="9"/>
        <v>87886.84</v>
      </c>
      <c r="AB92" s="341">
        <f t="shared" si="9"/>
        <v>2457019.1900000004</v>
      </c>
      <c r="AC92" s="341">
        <f t="shared" si="9"/>
        <v>4179025</v>
      </c>
      <c r="AD92" s="341">
        <f t="shared" si="9"/>
        <v>857285.29</v>
      </c>
      <c r="AE92" s="341">
        <f t="shared" si="9"/>
        <v>0</v>
      </c>
      <c r="AF92" s="341">
        <f t="shared" si="9"/>
        <v>0</v>
      </c>
      <c r="AG92" s="341">
        <f t="shared" si="9"/>
        <v>0</v>
      </c>
      <c r="AH92" s="341">
        <f t="shared" si="9"/>
        <v>32110.850000000002</v>
      </c>
      <c r="AI92" s="341">
        <f t="shared" si="9"/>
        <v>415433.54</v>
      </c>
      <c r="AJ92" s="341">
        <f t="shared" si="9"/>
        <v>811137.37999999989</v>
      </c>
      <c r="AK92" s="341">
        <f t="shared" si="9"/>
        <v>452217.62000000005</v>
      </c>
      <c r="AL92" s="341">
        <f t="shared" si="9"/>
        <v>89974.5</v>
      </c>
      <c r="AM92" s="341">
        <f t="shared" si="9"/>
        <v>81760</v>
      </c>
      <c r="AN92" s="341">
        <f t="shared" si="9"/>
        <v>0</v>
      </c>
      <c r="AO92" s="341">
        <f t="shared" si="9"/>
        <v>47526.38</v>
      </c>
      <c r="AP92" s="341">
        <f t="shared" si="9"/>
        <v>0</v>
      </c>
      <c r="AQ92" s="341">
        <f t="shared" si="9"/>
        <v>50049.270000000004</v>
      </c>
      <c r="AR92" s="341">
        <f t="shared" si="9"/>
        <v>95206.35</v>
      </c>
      <c r="AS92" s="341">
        <f t="shared" si="9"/>
        <v>40024.400000000001</v>
      </c>
      <c r="AT92" s="341">
        <f t="shared" si="9"/>
        <v>0</v>
      </c>
      <c r="AU92" s="341">
        <f t="shared" si="9"/>
        <v>0</v>
      </c>
      <c r="AV92" s="341">
        <f t="shared" si="9"/>
        <v>25221.25</v>
      </c>
      <c r="AW92" s="341">
        <f t="shared" si="9"/>
        <v>0</v>
      </c>
      <c r="AX92" s="341">
        <f t="shared" si="9"/>
        <v>588.17999999999995</v>
      </c>
      <c r="AY92" s="341">
        <f t="shared" si="9"/>
        <v>0</v>
      </c>
      <c r="AZ92" s="341">
        <f t="shared" si="9"/>
        <v>1298179.67</v>
      </c>
      <c r="BA92" s="341">
        <f t="shared" si="9"/>
        <v>596931</v>
      </c>
      <c r="BB92" s="341">
        <f>SUM(BB90:BB91)</f>
        <v>0</v>
      </c>
      <c r="BC92" s="341">
        <f t="shared" si="9"/>
        <v>0</v>
      </c>
      <c r="BD92" s="341">
        <f t="shared" si="9"/>
        <v>0</v>
      </c>
      <c r="BE92" s="344">
        <f>SUM(BE90:BE91)</f>
        <v>42889494.829999998</v>
      </c>
      <c r="BG92" s="341">
        <f t="shared" ref="BG92:BM92" si="10">SUM(BG90:BG91)</f>
        <v>0</v>
      </c>
      <c r="BH92" s="341">
        <f t="shared" si="10"/>
        <v>0</v>
      </c>
      <c r="BI92" s="341">
        <f t="shared" si="10"/>
        <v>0</v>
      </c>
      <c r="BJ92" s="341">
        <f t="shared" si="10"/>
        <v>0</v>
      </c>
      <c r="BK92" s="341">
        <f t="shared" si="10"/>
        <v>0</v>
      </c>
      <c r="BL92" s="341">
        <f t="shared" si="10"/>
        <v>0</v>
      </c>
      <c r="BM92" s="341">
        <f t="shared" si="10"/>
        <v>0</v>
      </c>
      <c r="BN92" s="341">
        <f t="shared" ref="BN92:CB92" si="11">SUM(BN90:BN91)</f>
        <v>0</v>
      </c>
      <c r="BO92" s="341">
        <f t="shared" si="11"/>
        <v>1472010.91</v>
      </c>
      <c r="BP92" s="341">
        <f t="shared" si="11"/>
        <v>1242.22</v>
      </c>
      <c r="BQ92" s="341">
        <f t="shared" si="11"/>
        <v>93479167.419999987</v>
      </c>
      <c r="BR92" s="341">
        <f t="shared" si="11"/>
        <v>2225000</v>
      </c>
      <c r="BS92" s="341">
        <f t="shared" si="11"/>
        <v>0</v>
      </c>
      <c r="BT92" s="341">
        <f t="shared" si="11"/>
        <v>0</v>
      </c>
      <c r="BU92" s="341">
        <f t="shared" si="11"/>
        <v>0</v>
      </c>
      <c r="BV92" s="341">
        <f t="shared" si="11"/>
        <v>15000</v>
      </c>
      <c r="BW92" s="341">
        <f t="shared" si="11"/>
        <v>0</v>
      </c>
      <c r="BX92" s="341">
        <f t="shared" si="11"/>
        <v>18000</v>
      </c>
      <c r="BY92" s="341">
        <f t="shared" si="11"/>
        <v>135765.29999999999</v>
      </c>
      <c r="BZ92" s="341">
        <f t="shared" si="11"/>
        <v>434500</v>
      </c>
      <c r="CA92" s="341">
        <f t="shared" si="11"/>
        <v>0</v>
      </c>
      <c r="CB92" s="347">
        <f t="shared" si="11"/>
        <v>110240769.58</v>
      </c>
      <c r="CC92" s="341"/>
      <c r="CD92" s="341">
        <f>SUM(CD90:CD91)</f>
        <v>0</v>
      </c>
      <c r="CE92" s="341">
        <f t="shared" ref="CE92:CP92" si="12">SUM(CE90:CE91)</f>
        <v>603749.18999999994</v>
      </c>
      <c r="CF92" s="341">
        <f t="shared" si="12"/>
        <v>2153</v>
      </c>
      <c r="CG92" s="341">
        <f t="shared" si="12"/>
        <v>612357.72999999986</v>
      </c>
      <c r="CH92" s="341">
        <f t="shared" si="12"/>
        <v>0</v>
      </c>
      <c r="CI92" s="341">
        <f t="shared" si="12"/>
        <v>0</v>
      </c>
      <c r="CJ92" s="341">
        <f t="shared" si="12"/>
        <v>0</v>
      </c>
      <c r="CK92" s="341">
        <f t="shared" si="12"/>
        <v>0</v>
      </c>
      <c r="CL92" s="341">
        <f t="shared" si="12"/>
        <v>0</v>
      </c>
      <c r="CM92" s="341">
        <f t="shared" si="12"/>
        <v>0</v>
      </c>
      <c r="CN92" s="341">
        <f t="shared" si="12"/>
        <v>0</v>
      </c>
      <c r="CO92" s="341">
        <f t="shared" si="12"/>
        <v>0</v>
      </c>
      <c r="CP92" s="347">
        <f t="shared" si="12"/>
        <v>116768</v>
      </c>
      <c r="CQ92" s="341"/>
      <c r="CR92" s="344">
        <f>SUM(CR90:CR91)</f>
        <v>295135473.00999999</v>
      </c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9">
    <pageSetUpPr fitToPage="1"/>
  </sheetPr>
  <dimension ref="A1:K88"/>
  <sheetViews>
    <sheetView workbookViewId="0">
      <selection activeCell="G11" sqref="G11"/>
    </sheetView>
  </sheetViews>
  <sheetFormatPr defaultRowHeight="15.75" x14ac:dyDescent="0.25"/>
  <cols>
    <col min="1" max="1" width="22.7109375" style="62" bestFit="1" customWidth="1"/>
    <col min="2" max="2" width="34.28515625" style="62" customWidth="1"/>
    <col min="3" max="3" width="16.5703125" style="603" bestFit="1" customWidth="1"/>
    <col min="4" max="4" width="19.5703125" style="604" bestFit="1" customWidth="1"/>
    <col min="5" max="5" width="16.5703125" style="603" bestFit="1" customWidth="1"/>
    <col min="6" max="6" width="15.42578125" style="603" bestFit="1" customWidth="1"/>
    <col min="7" max="7" width="15.42578125" style="605" bestFit="1" customWidth="1"/>
    <col min="8" max="8" width="30.7109375" style="603" bestFit="1" customWidth="1"/>
    <col min="9" max="9" width="28.5703125" style="603" bestFit="1" customWidth="1"/>
    <col min="10" max="10" width="21.42578125" style="603" bestFit="1" customWidth="1"/>
    <col min="11" max="11" width="18.42578125" style="603" bestFit="1" customWidth="1"/>
    <col min="12" max="16384" width="9.140625" style="62"/>
  </cols>
  <sheetData>
    <row r="1" spans="1:11" ht="16.5" thickBot="1" x14ac:dyDescent="0.3">
      <c r="A1" s="62" t="s">
        <v>419</v>
      </c>
    </row>
    <row r="2" spans="1:11" x14ac:dyDescent="0.25">
      <c r="A2" s="612" t="s">
        <v>708</v>
      </c>
      <c r="B2" s="613" t="s">
        <v>0</v>
      </c>
      <c r="C2" s="613" t="s">
        <v>420</v>
      </c>
      <c r="D2" s="614" t="s">
        <v>421</v>
      </c>
      <c r="E2" s="613" t="s">
        <v>422</v>
      </c>
      <c r="F2" s="613" t="s">
        <v>423</v>
      </c>
      <c r="G2" s="615" t="s">
        <v>424</v>
      </c>
      <c r="H2" s="613" t="s">
        <v>425</v>
      </c>
      <c r="I2" s="613" t="s">
        <v>426</v>
      </c>
      <c r="J2" s="613" t="s">
        <v>427</v>
      </c>
      <c r="K2" s="616" t="s">
        <v>91</v>
      </c>
    </row>
    <row r="3" spans="1:11" ht="16.5" thickBot="1" x14ac:dyDescent="0.3">
      <c r="A3" s="617"/>
      <c r="B3" s="618"/>
      <c r="C3" s="619" t="s">
        <v>428</v>
      </c>
      <c r="D3" s="620" t="s">
        <v>428</v>
      </c>
      <c r="E3" s="619" t="s">
        <v>429</v>
      </c>
      <c r="F3" s="619" t="s">
        <v>429</v>
      </c>
      <c r="G3" s="621" t="s">
        <v>430</v>
      </c>
      <c r="H3" s="619" t="s">
        <v>430</v>
      </c>
      <c r="I3" s="619" t="s">
        <v>430</v>
      </c>
      <c r="J3" s="619" t="s">
        <v>431</v>
      </c>
      <c r="K3" s="622"/>
    </row>
    <row r="4" spans="1:11" s="806" customFormat="1" x14ac:dyDescent="0.25">
      <c r="A4" s="803" t="s">
        <v>715</v>
      </c>
      <c r="B4" s="803" t="s">
        <v>716</v>
      </c>
      <c r="C4" s="803" t="s">
        <v>717</v>
      </c>
      <c r="D4" s="804" t="s">
        <v>718</v>
      </c>
      <c r="E4" s="803" t="s">
        <v>719</v>
      </c>
      <c r="F4" s="803" t="s">
        <v>720</v>
      </c>
      <c r="G4" s="805" t="s">
        <v>721</v>
      </c>
      <c r="H4" s="803" t="s">
        <v>722</v>
      </c>
      <c r="I4" s="803" t="s">
        <v>723</v>
      </c>
      <c r="J4" s="803" t="s">
        <v>724</v>
      </c>
      <c r="K4" s="803" t="s">
        <v>725</v>
      </c>
    </row>
    <row r="5" spans="1:11" x14ac:dyDescent="0.25">
      <c r="A5" s="62" t="s">
        <v>432</v>
      </c>
      <c r="B5" s="62" t="s">
        <v>433</v>
      </c>
      <c r="C5" s="606">
        <v>1321955.1200000001</v>
      </c>
      <c r="D5" s="607">
        <v>687279.05</v>
      </c>
      <c r="E5" s="605">
        <v>2214644.1365578836</v>
      </c>
      <c r="F5" s="605">
        <v>175247.64344211621</v>
      </c>
      <c r="G5" s="605">
        <v>98877.052950606667</v>
      </c>
      <c r="H5" s="608">
        <v>142967.64257745221</v>
      </c>
      <c r="I5" s="608">
        <v>18251.669708324898</v>
      </c>
      <c r="J5" s="605">
        <v>28786.096349762738</v>
      </c>
      <c r="K5" s="609">
        <f>SUM(C5:J5)</f>
        <v>4688008.4115861459</v>
      </c>
    </row>
    <row r="6" spans="1:11" x14ac:dyDescent="0.25">
      <c r="A6" s="62" t="s">
        <v>434</v>
      </c>
      <c r="B6" s="62" t="s">
        <v>435</v>
      </c>
      <c r="C6" s="606">
        <v>8147500.4000000004</v>
      </c>
      <c r="D6" s="607">
        <v>2659778.36</v>
      </c>
      <c r="E6" s="605">
        <v>20125111.972710907</v>
      </c>
      <c r="F6" s="605"/>
      <c r="G6" s="605">
        <v>499129.24935670022</v>
      </c>
      <c r="H6" s="608">
        <v>2239863.0730914604</v>
      </c>
      <c r="I6" s="608">
        <v>131149.79405887146</v>
      </c>
      <c r="J6" s="605">
        <v>498707.00637814921</v>
      </c>
      <c r="K6" s="609">
        <f t="shared" ref="K6:K69" si="0">SUM(C6:J6)</f>
        <v>34301239.855596095</v>
      </c>
    </row>
    <row r="7" spans="1:11" x14ac:dyDescent="0.25">
      <c r="A7" s="62" t="s">
        <v>436</v>
      </c>
      <c r="B7" s="62" t="s">
        <v>437</v>
      </c>
      <c r="C7" s="606">
        <v>413385.19</v>
      </c>
      <c r="D7" s="607">
        <v>313664.52</v>
      </c>
      <c r="E7" s="605">
        <v>753321.69166403671</v>
      </c>
      <c r="F7" s="605">
        <v>1746678.3083359632</v>
      </c>
      <c r="G7" s="605">
        <v>27487.963187903017</v>
      </c>
      <c r="H7" s="608">
        <v>355133.91399657476</v>
      </c>
      <c r="I7" s="608">
        <v>42797.122960841189</v>
      </c>
      <c r="J7" s="605">
        <v>36853.899454904385</v>
      </c>
      <c r="K7" s="609">
        <f t="shared" si="0"/>
        <v>3689322.6096002236</v>
      </c>
    </row>
    <row r="8" spans="1:11" x14ac:dyDescent="0.25">
      <c r="A8" s="62" t="s">
        <v>438</v>
      </c>
      <c r="B8" s="62" t="s">
        <v>439</v>
      </c>
      <c r="C8" s="606">
        <v>2414302.1</v>
      </c>
      <c r="D8" s="607">
        <v>883405.23</v>
      </c>
      <c r="E8" s="605">
        <v>8123580.8789890083</v>
      </c>
      <c r="F8" s="605"/>
      <c r="G8" s="605">
        <v>287628.8764487406</v>
      </c>
      <c r="H8" s="608">
        <v>666171.55840059253</v>
      </c>
      <c r="I8" s="608">
        <v>37330.531801978461</v>
      </c>
      <c r="J8" s="605">
        <v>80480.383764465718</v>
      </c>
      <c r="K8" s="609">
        <f t="shared" si="0"/>
        <v>12492899.559404787</v>
      </c>
    </row>
    <row r="9" spans="1:11" x14ac:dyDescent="0.25">
      <c r="A9" s="62" t="s">
        <v>438</v>
      </c>
      <c r="B9" s="62" t="s">
        <v>440</v>
      </c>
      <c r="C9" s="606">
        <v>1263680.3400000001</v>
      </c>
      <c r="D9" s="607">
        <v>765464.4</v>
      </c>
      <c r="E9" s="605">
        <v>2707838.8159990897</v>
      </c>
      <c r="F9" s="605"/>
      <c r="G9" s="605">
        <v>77551.145426911142</v>
      </c>
      <c r="H9" s="608">
        <v>297209.66309505329</v>
      </c>
      <c r="I9" s="608">
        <v>21715.855563665442</v>
      </c>
      <c r="J9" s="605">
        <v>98697.05433442998</v>
      </c>
      <c r="K9" s="609">
        <f t="shared" si="0"/>
        <v>5232157.2744191503</v>
      </c>
    </row>
    <row r="10" spans="1:11" x14ac:dyDescent="0.25">
      <c r="A10" s="62" t="s">
        <v>438</v>
      </c>
      <c r="B10" s="62" t="s">
        <v>441</v>
      </c>
      <c r="C10" s="606">
        <v>650459.54</v>
      </c>
      <c r="D10" s="607">
        <v>339129.96</v>
      </c>
      <c r="E10" s="605">
        <v>1436169.4535647419</v>
      </c>
      <c r="F10" s="605"/>
      <c r="G10" s="605">
        <v>42096.698124307986</v>
      </c>
      <c r="H10" s="608">
        <v>421750.21979320573</v>
      </c>
      <c r="I10" s="608">
        <v>23332.542568217308</v>
      </c>
      <c r="J10" s="605">
        <v>15124.642481732883</v>
      </c>
      <c r="K10" s="609">
        <f t="shared" si="0"/>
        <v>2928063.056532206</v>
      </c>
    </row>
    <row r="11" spans="1:11" x14ac:dyDescent="0.25">
      <c r="A11" s="62" t="s">
        <v>438</v>
      </c>
      <c r="B11" s="62" t="s">
        <v>442</v>
      </c>
      <c r="C11" s="606">
        <v>1239374.25</v>
      </c>
      <c r="D11" s="607">
        <v>513826.67</v>
      </c>
      <c r="E11" s="605">
        <v>3406873.738757805</v>
      </c>
      <c r="F11" s="605"/>
      <c r="G11" s="605">
        <v>135646.94897983209</v>
      </c>
      <c r="H11" s="608">
        <v>482495.65170714702</v>
      </c>
      <c r="I11" s="608">
        <v>18297.968959698461</v>
      </c>
      <c r="J11" s="605">
        <v>32009.9933722268</v>
      </c>
      <c r="K11" s="609">
        <f t="shared" si="0"/>
        <v>5828525.2217767099</v>
      </c>
    </row>
    <row r="12" spans="1:11" x14ac:dyDescent="0.25">
      <c r="A12" s="62" t="s">
        <v>438</v>
      </c>
      <c r="B12" s="62" t="s">
        <v>443</v>
      </c>
      <c r="C12" s="606">
        <v>4375602.3</v>
      </c>
      <c r="D12" s="607">
        <v>1992476.41</v>
      </c>
      <c r="E12" s="605">
        <v>11699859.182073645</v>
      </c>
      <c r="F12" s="605"/>
      <c r="G12" s="605">
        <v>376984.14072432212</v>
      </c>
      <c r="H12" s="608">
        <v>686309.31881622761</v>
      </c>
      <c r="I12" s="608">
        <v>39887.739130040798</v>
      </c>
      <c r="J12" s="605">
        <v>462647.7863978754</v>
      </c>
      <c r="K12" s="609">
        <f t="shared" si="0"/>
        <v>19633766.877142113</v>
      </c>
    </row>
    <row r="13" spans="1:11" x14ac:dyDescent="0.25">
      <c r="A13" s="62" t="s">
        <v>444</v>
      </c>
      <c r="B13" s="62" t="s">
        <v>445</v>
      </c>
      <c r="C13" s="606">
        <v>474587.33</v>
      </c>
      <c r="D13" s="607">
        <v>272556</v>
      </c>
      <c r="E13" s="605">
        <v>908249.23608474561</v>
      </c>
      <c r="F13" s="605">
        <v>685338.31698920694</v>
      </c>
      <c r="G13" s="605">
        <v>118291.09054789318</v>
      </c>
      <c r="H13" s="608">
        <v>89767.004718417811</v>
      </c>
      <c r="I13" s="608">
        <v>8682.7030651772675</v>
      </c>
      <c r="J13" s="605">
        <v>19509.286130970653</v>
      </c>
      <c r="K13" s="609">
        <f t="shared" si="0"/>
        <v>2576980.9675364122</v>
      </c>
    </row>
    <row r="14" spans="1:11" x14ac:dyDescent="0.25">
      <c r="A14" s="62" t="s">
        <v>444</v>
      </c>
      <c r="B14" s="62" t="s">
        <v>446</v>
      </c>
      <c r="C14" s="606">
        <v>349409.62</v>
      </c>
      <c r="D14" s="607">
        <v>212156.56</v>
      </c>
      <c r="E14" s="605">
        <v>558360.96468730539</v>
      </c>
      <c r="F14" s="605">
        <v>348051.482238742</v>
      </c>
      <c r="G14" s="605">
        <v>68794.007933195317</v>
      </c>
      <c r="H14" s="608">
        <v>11323.612888657364</v>
      </c>
      <c r="I14" s="608">
        <v>5293.5563948343406</v>
      </c>
      <c r="J14" s="605">
        <v>30798.751957517445</v>
      </c>
      <c r="K14" s="609">
        <f t="shared" si="0"/>
        <v>1584188.5561002514</v>
      </c>
    </row>
    <row r="15" spans="1:11" x14ac:dyDescent="0.25">
      <c r="A15" s="62" t="s">
        <v>447</v>
      </c>
      <c r="B15" s="62" t="s">
        <v>448</v>
      </c>
      <c r="C15" s="606">
        <v>183446.68</v>
      </c>
      <c r="D15" s="607">
        <v>104348.95</v>
      </c>
      <c r="E15" s="605">
        <v>376222.29847418889</v>
      </c>
      <c r="F15" s="605">
        <v>49024.729566629729</v>
      </c>
      <c r="G15" s="605">
        <v>15839.565754635549</v>
      </c>
      <c r="H15" s="608">
        <v>19639.445968794349</v>
      </c>
      <c r="I15" s="608">
        <v>1262.9455502251064</v>
      </c>
      <c r="J15" s="605">
        <v>3284.2617702850598</v>
      </c>
      <c r="K15" s="609">
        <f t="shared" si="0"/>
        <v>753068.87708475871</v>
      </c>
    </row>
    <row r="16" spans="1:11" x14ac:dyDescent="0.25">
      <c r="A16" s="62" t="s">
        <v>447</v>
      </c>
      <c r="B16" s="62" t="s">
        <v>449</v>
      </c>
      <c r="C16" s="606">
        <v>232270.18</v>
      </c>
      <c r="D16" s="607">
        <v>122204.54</v>
      </c>
      <c r="E16" s="605">
        <v>475566.83492098277</v>
      </c>
      <c r="F16" s="605">
        <v>68700.918418311252</v>
      </c>
      <c r="G16" s="605">
        <v>21747.068458477272</v>
      </c>
      <c r="H16" s="608">
        <v>244287.20426312531</v>
      </c>
      <c r="I16" s="608">
        <v>13821.476825953296</v>
      </c>
      <c r="J16" s="605">
        <v>12672.903004280221</v>
      </c>
      <c r="K16" s="609">
        <f t="shared" si="0"/>
        <v>1191271.1258911302</v>
      </c>
    </row>
    <row r="17" spans="1:11" x14ac:dyDescent="0.25">
      <c r="A17" s="62" t="s">
        <v>447</v>
      </c>
      <c r="B17" s="62" t="s">
        <v>450</v>
      </c>
      <c r="C17" s="606">
        <v>597820.12</v>
      </c>
      <c r="D17" s="607">
        <v>282005.8</v>
      </c>
      <c r="E17" s="605">
        <v>1353694.2651743437</v>
      </c>
      <c r="F17" s="605">
        <v>176790.95344554359</v>
      </c>
      <c r="G17" s="605">
        <v>57818.941414251662</v>
      </c>
      <c r="H17" s="608">
        <v>2337.875394206998</v>
      </c>
      <c r="I17" s="608">
        <v>327.93365296737852</v>
      </c>
      <c r="J17" s="605">
        <v>37308.462141240299</v>
      </c>
      <c r="K17" s="609">
        <f t="shared" si="0"/>
        <v>2508104.3512225533</v>
      </c>
    </row>
    <row r="18" spans="1:11" x14ac:dyDescent="0.25">
      <c r="A18" s="62" t="s">
        <v>451</v>
      </c>
      <c r="B18" s="62" t="s">
        <v>452</v>
      </c>
      <c r="C18" s="606">
        <v>7036261.2599999998</v>
      </c>
      <c r="D18" s="607">
        <v>2045867.18</v>
      </c>
      <c r="E18" s="605">
        <v>45441617.592474893</v>
      </c>
      <c r="F18" s="605"/>
      <c r="G18" s="605">
        <v>828291.81615520245</v>
      </c>
      <c r="H18" s="608">
        <v>11607.934148419439</v>
      </c>
      <c r="I18" s="608">
        <v>6543.0741461420266</v>
      </c>
      <c r="J18" s="605">
        <v>442466.5825794345</v>
      </c>
      <c r="K18" s="609">
        <f t="shared" si="0"/>
        <v>55812655.439504087</v>
      </c>
    </row>
    <row r="19" spans="1:11" x14ac:dyDescent="0.25">
      <c r="A19" s="62" t="s">
        <v>354</v>
      </c>
      <c r="B19" s="62" t="s">
        <v>453</v>
      </c>
      <c r="C19" s="606">
        <v>7891272.1799999997</v>
      </c>
      <c r="D19" s="607">
        <v>1860173.9</v>
      </c>
      <c r="E19" s="605">
        <v>29580421.972873148</v>
      </c>
      <c r="F19" s="605"/>
      <c r="G19" s="605">
        <v>990176.57866903045</v>
      </c>
      <c r="H19" s="608">
        <v>2265695.9989029351</v>
      </c>
      <c r="I19" s="608">
        <v>233835.71826035957</v>
      </c>
      <c r="J19" s="605">
        <v>260973.41507037307</v>
      </c>
      <c r="K19" s="609">
        <f t="shared" si="0"/>
        <v>43082549.763775848</v>
      </c>
    </row>
    <row r="20" spans="1:11" x14ac:dyDescent="0.25">
      <c r="A20" s="62" t="s">
        <v>454</v>
      </c>
      <c r="B20" s="62" t="s">
        <v>455</v>
      </c>
      <c r="C20" s="606">
        <v>785313.59</v>
      </c>
      <c r="D20" s="607">
        <v>268092.96000000002</v>
      </c>
      <c r="E20" s="605">
        <v>1315336.3493778207</v>
      </c>
      <c r="F20" s="605">
        <v>1184663.6506221793</v>
      </c>
      <c r="G20" s="605">
        <v>30592.498690967834</v>
      </c>
      <c r="H20" s="608">
        <v>544775.74924650264</v>
      </c>
      <c r="I20" s="608">
        <v>17004.31336437543</v>
      </c>
      <c r="J20" s="605">
        <v>21494.55184600647</v>
      </c>
      <c r="K20" s="609">
        <f t="shared" si="0"/>
        <v>4167273.6631478528</v>
      </c>
    </row>
    <row r="21" spans="1:11" x14ac:dyDescent="0.25">
      <c r="A21" s="62" t="s">
        <v>456</v>
      </c>
      <c r="B21" s="62" t="s">
        <v>457</v>
      </c>
      <c r="C21" s="606">
        <v>16955781.510000002</v>
      </c>
      <c r="D21" s="607">
        <v>3557261.8</v>
      </c>
      <c r="E21" s="605">
        <v>72316043.98899959</v>
      </c>
      <c r="F21" s="605"/>
      <c r="G21" s="605">
        <v>847742.52000666165</v>
      </c>
      <c r="H21" s="608">
        <v>1145462.0361908886</v>
      </c>
      <c r="I21" s="608">
        <v>124336.80401605161</v>
      </c>
      <c r="J21" s="605">
        <v>2687535.063487649</v>
      </c>
      <c r="K21" s="609">
        <f t="shared" si="0"/>
        <v>97634163.722700834</v>
      </c>
    </row>
    <row r="22" spans="1:11" x14ac:dyDescent="0.25">
      <c r="A22" s="62" t="s">
        <v>458</v>
      </c>
      <c r="B22" s="62" t="s">
        <v>459</v>
      </c>
      <c r="C22" s="606">
        <v>2992368.08</v>
      </c>
      <c r="D22" s="607">
        <v>1309985.04</v>
      </c>
      <c r="E22" s="605">
        <v>6282695.8131701862</v>
      </c>
      <c r="F22" s="605"/>
      <c r="G22" s="605">
        <v>173639.98481596471</v>
      </c>
      <c r="H22" s="608">
        <v>1386477.3560992316</v>
      </c>
      <c r="I22" s="608">
        <v>84960.568316821009</v>
      </c>
      <c r="J22" s="605">
        <v>156039.0024523226</v>
      </c>
      <c r="K22" s="609">
        <f t="shared" si="0"/>
        <v>12386165.844854526</v>
      </c>
    </row>
    <row r="23" spans="1:11" x14ac:dyDescent="0.25">
      <c r="A23" s="62" t="s">
        <v>460</v>
      </c>
      <c r="B23" s="62" t="s">
        <v>461</v>
      </c>
      <c r="C23" s="606">
        <v>2027221.16</v>
      </c>
      <c r="D23" s="607">
        <v>930852.94</v>
      </c>
      <c r="E23" s="605">
        <v>3385683.9733352708</v>
      </c>
      <c r="F23" s="605"/>
      <c r="G23" s="605">
        <v>226072.96859561553</v>
      </c>
      <c r="H23" s="608">
        <v>683163.88112408656</v>
      </c>
      <c r="I23" s="608">
        <v>62735.618421048443</v>
      </c>
      <c r="J23" s="605">
        <v>121825.68341652981</v>
      </c>
      <c r="K23" s="609">
        <f t="shared" si="0"/>
        <v>7437556.2248925511</v>
      </c>
    </row>
    <row r="24" spans="1:11" x14ac:dyDescent="0.25">
      <c r="A24" s="62" t="s">
        <v>359</v>
      </c>
      <c r="B24" s="62" t="s">
        <v>462</v>
      </c>
      <c r="C24" s="606">
        <v>1858326.4</v>
      </c>
      <c r="D24" s="607">
        <v>849826.05</v>
      </c>
      <c r="E24" s="605">
        <v>4131098.6745142061</v>
      </c>
      <c r="F24" s="605"/>
      <c r="G24" s="605">
        <v>137802.23087380067</v>
      </c>
      <c r="H24" s="608">
        <v>972016.24717215577</v>
      </c>
      <c r="I24" s="608">
        <v>70144.096029730004</v>
      </c>
      <c r="J24" s="605">
        <v>86069.408121160566</v>
      </c>
      <c r="K24" s="609">
        <f t="shared" si="0"/>
        <v>8105283.1067110524</v>
      </c>
    </row>
    <row r="25" spans="1:11" x14ac:dyDescent="0.25">
      <c r="A25" s="62" t="s">
        <v>463</v>
      </c>
      <c r="B25" s="62" t="s">
        <v>464</v>
      </c>
      <c r="C25" s="606">
        <v>334168.53000000003</v>
      </c>
      <c r="D25" s="607">
        <v>181561.93</v>
      </c>
      <c r="E25" s="605">
        <v>596240.6123551355</v>
      </c>
      <c r="F25" s="605"/>
      <c r="G25" s="605">
        <v>24579.899904202517</v>
      </c>
      <c r="H25" s="608">
        <v>18447.465464580306</v>
      </c>
      <c r="I25" s="608">
        <v>1196.8724168556209</v>
      </c>
      <c r="J25" s="605">
        <v>6661.3785416960718</v>
      </c>
      <c r="K25" s="609">
        <f t="shared" si="0"/>
        <v>1162856.68868247</v>
      </c>
    </row>
    <row r="26" spans="1:11" x14ac:dyDescent="0.25">
      <c r="A26" s="62" t="s">
        <v>463</v>
      </c>
      <c r="B26" s="62" t="s">
        <v>465</v>
      </c>
      <c r="C26" s="606">
        <v>604969.79</v>
      </c>
      <c r="D26" s="607">
        <v>300526.68</v>
      </c>
      <c r="E26" s="605">
        <v>1738868.5102276981</v>
      </c>
      <c r="F26" s="605"/>
      <c r="G26" s="605">
        <v>47147.91062467821</v>
      </c>
      <c r="H26" s="608">
        <v>39721.946664125586</v>
      </c>
      <c r="I26" s="608">
        <v>3374.6841807995074</v>
      </c>
      <c r="J26" s="605">
        <v>39681.095387916714</v>
      </c>
      <c r="K26" s="609">
        <f t="shared" si="0"/>
        <v>2774290.617085218</v>
      </c>
    </row>
    <row r="27" spans="1:11" x14ac:dyDescent="0.25">
      <c r="A27" s="62" t="s">
        <v>463</v>
      </c>
      <c r="B27" s="62" t="s">
        <v>466</v>
      </c>
      <c r="C27" s="606">
        <v>293347.96000000002</v>
      </c>
      <c r="D27" s="607">
        <v>144744.04</v>
      </c>
      <c r="E27" s="605">
        <v>615018.61436497455</v>
      </c>
      <c r="F27" s="605"/>
      <c r="G27" s="605">
        <v>10158.227443331605</v>
      </c>
      <c r="H27" s="608">
        <v>7815.9694531577361</v>
      </c>
      <c r="I27" s="608">
        <v>536.88565309631178</v>
      </c>
      <c r="J27" s="605">
        <v>9597.335878619022</v>
      </c>
      <c r="K27" s="609">
        <f t="shared" si="0"/>
        <v>1081219.0327931792</v>
      </c>
    </row>
    <row r="28" spans="1:11" x14ac:dyDescent="0.25">
      <c r="A28" s="62" t="s">
        <v>467</v>
      </c>
      <c r="B28" s="62" t="s">
        <v>468</v>
      </c>
      <c r="C28" s="606">
        <v>2098074.9</v>
      </c>
      <c r="D28" s="607">
        <v>583180.6</v>
      </c>
      <c r="E28" s="605">
        <v>2881548.6173046147</v>
      </c>
      <c r="F28" s="605"/>
      <c r="G28" s="605">
        <v>392444.81324633909</v>
      </c>
      <c r="H28" s="608">
        <v>76596.114884613213</v>
      </c>
      <c r="I28" s="608">
        <v>13034.252396049333</v>
      </c>
      <c r="J28" s="605">
        <v>119992.12321957095</v>
      </c>
      <c r="K28" s="609">
        <f t="shared" si="0"/>
        <v>6164871.4210511865</v>
      </c>
    </row>
    <row r="29" spans="1:11" x14ac:dyDescent="0.25">
      <c r="A29" s="62" t="s">
        <v>469</v>
      </c>
      <c r="B29" s="62" t="s">
        <v>470</v>
      </c>
      <c r="C29" s="606">
        <v>3748256.84</v>
      </c>
      <c r="D29" s="607">
        <v>1372909.51</v>
      </c>
      <c r="E29" s="605">
        <v>6536963.3225590205</v>
      </c>
      <c r="F29" s="605"/>
      <c r="G29" s="605">
        <v>222197.53789911896</v>
      </c>
      <c r="H29" s="608">
        <v>1217441.2292339227</v>
      </c>
      <c r="I29" s="608">
        <v>54443.965734821773</v>
      </c>
      <c r="J29" s="605">
        <v>289099.58795608964</v>
      </c>
      <c r="K29" s="609">
        <f t="shared" si="0"/>
        <v>13441311.993382974</v>
      </c>
    </row>
    <row r="30" spans="1:11" x14ac:dyDescent="0.25">
      <c r="A30" s="62" t="s">
        <v>471</v>
      </c>
      <c r="B30" s="62" t="s">
        <v>472</v>
      </c>
      <c r="C30" s="606">
        <v>245669.83</v>
      </c>
      <c r="D30" s="607">
        <v>125196.82</v>
      </c>
      <c r="E30" s="605">
        <v>797478.03130763571</v>
      </c>
      <c r="F30" s="605"/>
      <c r="G30" s="605">
        <v>15440.593563240387</v>
      </c>
      <c r="H30" s="608">
        <v>27157.292440570025</v>
      </c>
      <c r="I30" s="608">
        <v>6090.5504505592389</v>
      </c>
      <c r="J30" s="605">
        <v>18733.794759709777</v>
      </c>
      <c r="K30" s="609">
        <f t="shared" si="0"/>
        <v>1235766.9125217153</v>
      </c>
    </row>
    <row r="31" spans="1:11" x14ac:dyDescent="0.25">
      <c r="A31" s="62" t="s">
        <v>471</v>
      </c>
      <c r="B31" s="62" t="s">
        <v>473</v>
      </c>
      <c r="C31" s="606">
        <v>852466.84</v>
      </c>
      <c r="D31" s="607">
        <v>399139.09</v>
      </c>
      <c r="E31" s="605">
        <v>2305048.7808690364</v>
      </c>
      <c r="F31" s="605"/>
      <c r="G31" s="605">
        <v>46326.617958370392</v>
      </c>
      <c r="H31" s="608">
        <v>109724.72373923246</v>
      </c>
      <c r="I31" s="608">
        <v>13851.493659216774</v>
      </c>
      <c r="J31" s="605">
        <v>65189.134658120151</v>
      </c>
      <c r="K31" s="609">
        <f t="shared" si="0"/>
        <v>3791746.6808839766</v>
      </c>
    </row>
    <row r="32" spans="1:11" x14ac:dyDescent="0.25">
      <c r="A32" s="62" t="s">
        <v>474</v>
      </c>
      <c r="B32" s="62" t="s">
        <v>475</v>
      </c>
      <c r="C32" s="606">
        <v>6474199.3099999996</v>
      </c>
      <c r="D32" s="607">
        <v>1290043.1499999999</v>
      </c>
      <c r="E32" s="605">
        <v>27444693.753228363</v>
      </c>
      <c r="F32" s="605"/>
      <c r="G32" s="605">
        <v>608238.44765510317</v>
      </c>
      <c r="H32" s="608">
        <v>514933.1158758392</v>
      </c>
      <c r="I32" s="608">
        <v>52438.397754579848</v>
      </c>
      <c r="J32" s="605">
        <v>244854.73344883777</v>
      </c>
      <c r="K32" s="609">
        <f t="shared" si="0"/>
        <v>36629400.907962725</v>
      </c>
    </row>
    <row r="33" spans="1:11" x14ac:dyDescent="0.25">
      <c r="A33" s="62" t="s">
        <v>474</v>
      </c>
      <c r="B33" s="62" t="s">
        <v>476</v>
      </c>
      <c r="C33" s="606">
        <v>941132.39</v>
      </c>
      <c r="D33" s="607">
        <v>571381.69999999995</v>
      </c>
      <c r="E33" s="605">
        <v>2400004.7535877363</v>
      </c>
      <c r="F33" s="605"/>
      <c r="G33" s="605">
        <v>39880.740490351091</v>
      </c>
      <c r="H33" s="608">
        <v>563671.12792623683</v>
      </c>
      <c r="I33" s="608">
        <v>70223.518811392772</v>
      </c>
      <c r="J33" s="605">
        <v>41690.925464584318</v>
      </c>
      <c r="K33" s="609">
        <f t="shared" si="0"/>
        <v>4627985.1562803006</v>
      </c>
    </row>
    <row r="34" spans="1:11" x14ac:dyDescent="0.25">
      <c r="A34" s="62" t="s">
        <v>477</v>
      </c>
      <c r="B34" s="62" t="s">
        <v>478</v>
      </c>
      <c r="C34" s="606">
        <v>1553034.38</v>
      </c>
      <c r="D34" s="607">
        <v>532740.66</v>
      </c>
      <c r="E34" s="605">
        <v>3469164.2202724246</v>
      </c>
      <c r="F34" s="605"/>
      <c r="G34" s="605">
        <v>52158.971164922405</v>
      </c>
      <c r="H34" s="608">
        <v>205879.44605360151</v>
      </c>
      <c r="I34" s="608">
        <v>21671.149670750881</v>
      </c>
      <c r="J34" s="605">
        <v>49637.576017309955</v>
      </c>
      <c r="K34" s="609">
        <f t="shared" si="0"/>
        <v>5884286.4031790094</v>
      </c>
    </row>
    <row r="35" spans="1:11" x14ac:dyDescent="0.25">
      <c r="A35" s="62" t="s">
        <v>479</v>
      </c>
      <c r="B35" s="62" t="s">
        <v>480</v>
      </c>
      <c r="C35" s="606">
        <v>1395633.59</v>
      </c>
      <c r="D35" s="607">
        <v>631665.39</v>
      </c>
      <c r="E35" s="605">
        <v>3000416.1782922754</v>
      </c>
      <c r="F35" s="605"/>
      <c r="G35" s="605">
        <v>50473.323781258092</v>
      </c>
      <c r="H35" s="608">
        <v>149317.30618441623</v>
      </c>
      <c r="I35" s="608">
        <v>10065.346238406713</v>
      </c>
      <c r="J35" s="605">
        <v>36433.281098985914</v>
      </c>
      <c r="K35" s="609">
        <f t="shared" si="0"/>
        <v>5274004.4155953424</v>
      </c>
    </row>
    <row r="36" spans="1:11" x14ac:dyDescent="0.25">
      <c r="A36" s="62" t="s">
        <v>481</v>
      </c>
      <c r="B36" s="62" t="s">
        <v>482</v>
      </c>
      <c r="C36" s="606">
        <v>4230370.55</v>
      </c>
      <c r="D36" s="607">
        <v>1575967.37</v>
      </c>
      <c r="E36" s="605">
        <v>16406234.791094488</v>
      </c>
      <c r="F36" s="605"/>
      <c r="G36" s="605">
        <v>250970.87744252136</v>
      </c>
      <c r="H36" s="608">
        <v>1458099.3603278722</v>
      </c>
      <c r="I36" s="608">
        <v>118765.86898399437</v>
      </c>
      <c r="J36" s="605">
        <v>610115.07974375854</v>
      </c>
      <c r="K36" s="609">
        <f t="shared" si="0"/>
        <v>24650523.897592634</v>
      </c>
    </row>
    <row r="37" spans="1:11" x14ac:dyDescent="0.25">
      <c r="A37" s="62" t="s">
        <v>481</v>
      </c>
      <c r="B37" s="62" t="s">
        <v>483</v>
      </c>
      <c r="C37" s="606">
        <v>290639.76</v>
      </c>
      <c r="D37" s="607">
        <v>152097.01999999999</v>
      </c>
      <c r="E37" s="605">
        <v>755360.75290552515</v>
      </c>
      <c r="F37" s="605"/>
      <c r="G37" s="605">
        <v>8554.8438605330502</v>
      </c>
      <c r="H37" s="608">
        <v>12505.655388481406</v>
      </c>
      <c r="I37" s="608">
        <v>2138.015995938058</v>
      </c>
      <c r="J37" s="605">
        <v>15442.453204478017</v>
      </c>
      <c r="K37" s="609">
        <f t="shared" si="0"/>
        <v>1236738.5013549556</v>
      </c>
    </row>
    <row r="38" spans="1:11" x14ac:dyDescent="0.25">
      <c r="A38" s="62" t="s">
        <v>481</v>
      </c>
      <c r="B38" s="62" t="s">
        <v>484</v>
      </c>
      <c r="C38" s="606">
        <v>802083.4</v>
      </c>
      <c r="D38" s="607">
        <v>429026.62</v>
      </c>
      <c r="E38" s="605">
        <v>2052813.9307874064</v>
      </c>
      <c r="F38" s="605"/>
      <c r="G38" s="605">
        <v>22106.739659167364</v>
      </c>
      <c r="H38" s="608">
        <v>1172349.3299431866</v>
      </c>
      <c r="I38" s="608">
        <v>43241.201240181275</v>
      </c>
      <c r="J38" s="605">
        <v>119874.46468757869</v>
      </c>
      <c r="K38" s="609">
        <f t="shared" si="0"/>
        <v>4641495.6863175193</v>
      </c>
    </row>
    <row r="39" spans="1:11" x14ac:dyDescent="0.25">
      <c r="A39" s="62" t="s">
        <v>481</v>
      </c>
      <c r="B39" s="62" t="s">
        <v>485</v>
      </c>
      <c r="C39" s="606">
        <v>309116.5</v>
      </c>
      <c r="D39" s="607">
        <v>109471.12</v>
      </c>
      <c r="E39" s="605">
        <v>440593.48080997274</v>
      </c>
      <c r="F39" s="605"/>
      <c r="G39" s="605">
        <v>7955.5318596536972</v>
      </c>
      <c r="H39" s="608">
        <v>71734.330714182157</v>
      </c>
      <c r="I39" s="608">
        <v>3451.8105551931021</v>
      </c>
      <c r="J39" s="605">
        <v>21615.649655780846</v>
      </c>
      <c r="K39" s="609">
        <f t="shared" si="0"/>
        <v>963938.42359478248</v>
      </c>
    </row>
    <row r="40" spans="1:11" x14ac:dyDescent="0.25">
      <c r="A40" s="62" t="s">
        <v>481</v>
      </c>
      <c r="B40" s="62" t="s">
        <v>486</v>
      </c>
      <c r="C40" s="606">
        <v>276138.36</v>
      </c>
      <c r="D40" s="607">
        <v>138607.64000000001</v>
      </c>
      <c r="E40" s="605">
        <v>867862.60650938936</v>
      </c>
      <c r="F40" s="605"/>
      <c r="G40" s="605">
        <v>7168.7619800377533</v>
      </c>
      <c r="H40" s="608">
        <v>12421.349385481162</v>
      </c>
      <c r="I40" s="608">
        <v>3077.077028912785</v>
      </c>
      <c r="J40" s="605">
        <v>9966.3012210263605</v>
      </c>
      <c r="K40" s="609">
        <f t="shared" si="0"/>
        <v>1315242.0961248472</v>
      </c>
    </row>
    <row r="41" spans="1:11" x14ac:dyDescent="0.25">
      <c r="A41" s="62" t="s">
        <v>487</v>
      </c>
      <c r="B41" s="62" t="s">
        <v>488</v>
      </c>
      <c r="C41" s="606">
        <v>4615361.5199999996</v>
      </c>
      <c r="D41" s="607">
        <v>914015.64</v>
      </c>
      <c r="E41" s="605">
        <v>10861792.329237355</v>
      </c>
      <c r="F41" s="605"/>
      <c r="G41" s="605">
        <v>275667.31994276412</v>
      </c>
      <c r="H41" s="608">
        <v>1233760.8209034151</v>
      </c>
      <c r="I41" s="608">
        <v>48931.316472826584</v>
      </c>
      <c r="J41" s="605">
        <v>228604.90412229847</v>
      </c>
      <c r="K41" s="609">
        <f t="shared" si="0"/>
        <v>18178133.85067866</v>
      </c>
    </row>
    <row r="42" spans="1:11" x14ac:dyDescent="0.25">
      <c r="A42" s="62" t="s">
        <v>489</v>
      </c>
      <c r="B42" s="62" t="s">
        <v>490</v>
      </c>
      <c r="C42" s="606">
        <v>23410334.23</v>
      </c>
      <c r="D42" s="607">
        <v>5947973.9500000002</v>
      </c>
      <c r="E42" s="605">
        <v>65709771.881661929</v>
      </c>
      <c r="F42" s="605"/>
      <c r="G42" s="605">
        <v>3129094.2709369394</v>
      </c>
      <c r="H42" s="608">
        <v>5637380.0717373053</v>
      </c>
      <c r="I42" s="608">
        <v>466658.49949695094</v>
      </c>
      <c r="J42" s="605">
        <v>2891522.7009586175</v>
      </c>
      <c r="K42" s="609">
        <f t="shared" si="0"/>
        <v>107192735.60479175</v>
      </c>
    </row>
    <row r="43" spans="1:11" x14ac:dyDescent="0.25">
      <c r="A43" s="62" t="s">
        <v>491</v>
      </c>
      <c r="B43" s="62" t="s">
        <v>492</v>
      </c>
      <c r="C43" s="606">
        <v>3337524.37</v>
      </c>
      <c r="D43" s="607">
        <v>1348549.84</v>
      </c>
      <c r="E43" s="605">
        <v>7462994.8289015573</v>
      </c>
      <c r="F43" s="605"/>
      <c r="G43" s="605">
        <v>680622.73279626761</v>
      </c>
      <c r="H43" s="608">
        <v>851756.85531159723</v>
      </c>
      <c r="I43" s="608">
        <v>90353.032794063794</v>
      </c>
      <c r="J43" s="605">
        <v>278513.84353791014</v>
      </c>
      <c r="K43" s="609">
        <f t="shared" si="0"/>
        <v>14050315.503341394</v>
      </c>
    </row>
    <row r="44" spans="1:11" x14ac:dyDescent="0.25">
      <c r="A44" s="62" t="s">
        <v>491</v>
      </c>
      <c r="B44" s="62" t="s">
        <v>493</v>
      </c>
      <c r="C44" s="606">
        <v>338775.1</v>
      </c>
      <c r="D44" s="607">
        <v>215439.43</v>
      </c>
      <c r="E44" s="605">
        <v>660742.65180638526</v>
      </c>
      <c r="F44" s="605"/>
      <c r="G44" s="605">
        <v>56712.745239463693</v>
      </c>
      <c r="H44" s="608">
        <v>88413.370047073753</v>
      </c>
      <c r="I44" s="608">
        <v>8587.6373241727888</v>
      </c>
      <c r="J44" s="605">
        <v>6247.2569645886806</v>
      </c>
      <c r="K44" s="609">
        <f t="shared" si="0"/>
        <v>1374918.1913816843</v>
      </c>
    </row>
    <row r="45" spans="1:11" x14ac:dyDescent="0.25">
      <c r="A45" s="62" t="s">
        <v>491</v>
      </c>
      <c r="B45" s="62" t="s">
        <v>494</v>
      </c>
      <c r="C45" s="606">
        <v>270144.36</v>
      </c>
      <c r="D45" s="607">
        <v>244137.49</v>
      </c>
      <c r="E45" s="605">
        <v>1656557.7177323999</v>
      </c>
      <c r="F45" s="605"/>
      <c r="G45" s="605">
        <v>52439.16801542497</v>
      </c>
      <c r="H45" s="608">
        <v>712321.11526838131</v>
      </c>
      <c r="I45" s="608">
        <v>27691.544042822763</v>
      </c>
      <c r="J45" s="605">
        <v>5558.0257846476561</v>
      </c>
      <c r="K45" s="609">
        <f t="shared" si="0"/>
        <v>2968849.4208436767</v>
      </c>
    </row>
    <row r="46" spans="1:11" x14ac:dyDescent="0.25">
      <c r="A46" s="62" t="s">
        <v>495</v>
      </c>
      <c r="B46" s="62" t="s">
        <v>496</v>
      </c>
      <c r="C46" s="606">
        <v>839282.04</v>
      </c>
      <c r="D46" s="607">
        <v>415872.9</v>
      </c>
      <c r="E46" s="605">
        <v>1318544.5186625295</v>
      </c>
      <c r="F46" s="605">
        <v>460974.02064456831</v>
      </c>
      <c r="G46" s="605">
        <v>73881.800596402769</v>
      </c>
      <c r="H46" s="608">
        <v>6009.7913766693755</v>
      </c>
      <c r="I46" s="608">
        <v>376.0318472981449</v>
      </c>
      <c r="J46" s="605">
        <v>55508.850717926347</v>
      </c>
      <c r="K46" s="609">
        <f t="shared" si="0"/>
        <v>3170449.9538453948</v>
      </c>
    </row>
    <row r="47" spans="1:11" x14ac:dyDescent="0.25">
      <c r="A47" s="62" t="s">
        <v>495</v>
      </c>
      <c r="B47" s="62" t="s">
        <v>497</v>
      </c>
      <c r="C47" s="606">
        <v>493246.29</v>
      </c>
      <c r="D47" s="607">
        <v>247239.48</v>
      </c>
      <c r="E47" s="605">
        <v>574283.15203543159</v>
      </c>
      <c r="F47" s="605">
        <v>146198.30865747068</v>
      </c>
      <c r="G47" s="605">
        <v>22849.619649321165</v>
      </c>
      <c r="H47" s="608">
        <v>58961.453814018212</v>
      </c>
      <c r="I47" s="608">
        <v>2175.630029234494</v>
      </c>
      <c r="J47" s="605">
        <v>40766.319144692476</v>
      </c>
      <c r="K47" s="609">
        <f t="shared" si="0"/>
        <v>1585720.2533301685</v>
      </c>
    </row>
    <row r="48" spans="1:11" x14ac:dyDescent="0.25">
      <c r="A48" s="62" t="s">
        <v>498</v>
      </c>
      <c r="B48" s="62" t="s">
        <v>499</v>
      </c>
      <c r="C48" s="606">
        <v>11700436.449999999</v>
      </c>
      <c r="D48" s="607">
        <v>3952007.96</v>
      </c>
      <c r="E48" s="605">
        <v>37393683.165129155</v>
      </c>
      <c r="F48" s="605"/>
      <c r="G48" s="605">
        <v>353025.83310572256</v>
      </c>
      <c r="H48" s="608">
        <v>272459.28992438421</v>
      </c>
      <c r="I48" s="608">
        <v>31694.915491790889</v>
      </c>
      <c r="J48" s="605">
        <v>853279.83389315079</v>
      </c>
      <c r="K48" s="609">
        <f t="shared" si="0"/>
        <v>54556587.447544195</v>
      </c>
    </row>
    <row r="49" spans="1:11" x14ac:dyDescent="0.25">
      <c r="A49" s="62" t="s">
        <v>500</v>
      </c>
      <c r="B49" s="62" t="s">
        <v>501</v>
      </c>
      <c r="C49" s="606">
        <v>980937.16</v>
      </c>
      <c r="D49" s="607">
        <v>300801.42</v>
      </c>
      <c r="E49" s="605">
        <v>2436735.3797105406</v>
      </c>
      <c r="F49" s="605">
        <v>63264.620289459359</v>
      </c>
      <c r="G49" s="605">
        <v>77469.970512025771</v>
      </c>
      <c r="H49" s="608">
        <v>28008.600630959452</v>
      </c>
      <c r="I49" s="608">
        <v>5806.0548512892019</v>
      </c>
      <c r="J49" s="605">
        <v>37088.041729426521</v>
      </c>
      <c r="K49" s="609">
        <f t="shared" si="0"/>
        <v>3930111.2477237014</v>
      </c>
    </row>
    <row r="50" spans="1:11" x14ac:dyDescent="0.25">
      <c r="A50" s="62" t="s">
        <v>502</v>
      </c>
      <c r="B50" s="62" t="s">
        <v>503</v>
      </c>
      <c r="C50" s="606">
        <v>3705357.96</v>
      </c>
      <c r="D50" s="607">
        <v>1136703.6000000001</v>
      </c>
      <c r="E50" s="605">
        <v>9199654.196981661</v>
      </c>
      <c r="F50" s="605"/>
      <c r="G50" s="605">
        <v>496428.88191659941</v>
      </c>
      <c r="H50" s="608">
        <v>588168.65258527384</v>
      </c>
      <c r="I50" s="608">
        <v>54683.453941313703</v>
      </c>
      <c r="J50" s="605">
        <v>185189.64787128998</v>
      </c>
      <c r="K50" s="609">
        <f t="shared" si="0"/>
        <v>15366186.393296137</v>
      </c>
    </row>
    <row r="51" spans="1:11" x14ac:dyDescent="0.25">
      <c r="A51" s="62" t="s">
        <v>504</v>
      </c>
      <c r="B51" s="62" t="s">
        <v>505</v>
      </c>
      <c r="C51" s="606">
        <v>3724743.24</v>
      </c>
      <c r="D51" s="607">
        <v>1189965.3400000001</v>
      </c>
      <c r="E51" s="605">
        <v>9613903.3860551678</v>
      </c>
      <c r="F51" s="605"/>
      <c r="G51" s="605">
        <v>936780.07257853122</v>
      </c>
      <c r="H51" s="608">
        <v>396821.64829063497</v>
      </c>
      <c r="I51" s="608">
        <v>44643.370167584049</v>
      </c>
      <c r="J51" s="605">
        <v>176175.08817815481</v>
      </c>
      <c r="K51" s="609">
        <f t="shared" si="0"/>
        <v>16083032.14527007</v>
      </c>
    </row>
    <row r="52" spans="1:11" x14ac:dyDescent="0.25">
      <c r="A52" s="62" t="s">
        <v>506</v>
      </c>
      <c r="B52" s="62" t="s">
        <v>507</v>
      </c>
      <c r="C52" s="606">
        <v>1824065.92</v>
      </c>
      <c r="D52" s="607">
        <v>804636.8</v>
      </c>
      <c r="E52" s="605">
        <v>3829310.5398109374</v>
      </c>
      <c r="F52" s="605"/>
      <c r="G52" s="605">
        <v>316259.17818235181</v>
      </c>
      <c r="H52" s="608">
        <v>662292.92722550791</v>
      </c>
      <c r="I52" s="608">
        <v>52452.53853833938</v>
      </c>
      <c r="J52" s="605">
        <v>74145.740510558724</v>
      </c>
      <c r="K52" s="609">
        <f t="shared" si="0"/>
        <v>7563163.644267695</v>
      </c>
    </row>
    <row r="53" spans="1:11" x14ac:dyDescent="0.25">
      <c r="A53" s="62" t="s">
        <v>506</v>
      </c>
      <c r="B53" s="62" t="s">
        <v>508</v>
      </c>
      <c r="C53" s="606">
        <v>933593.09</v>
      </c>
      <c r="D53" s="607">
        <v>464373.2</v>
      </c>
      <c r="E53" s="605">
        <v>1862598.4199735641</v>
      </c>
      <c r="F53" s="605"/>
      <c r="G53" s="605">
        <v>148880.45637488551</v>
      </c>
      <c r="H53" s="608">
        <v>356952.98701198085</v>
      </c>
      <c r="I53" s="608">
        <v>26492.918582634502</v>
      </c>
      <c r="J53" s="605">
        <v>81175.359249708767</v>
      </c>
      <c r="K53" s="609">
        <f t="shared" si="0"/>
        <v>3874066.4311927739</v>
      </c>
    </row>
    <row r="54" spans="1:11" x14ac:dyDescent="0.25">
      <c r="A54" s="62" t="s">
        <v>509</v>
      </c>
      <c r="B54" s="62" t="s">
        <v>510</v>
      </c>
      <c r="C54" s="606">
        <v>770484.57</v>
      </c>
      <c r="D54" s="607">
        <v>382673.45</v>
      </c>
      <c r="E54" s="605">
        <v>1127080.9177412726</v>
      </c>
      <c r="F54" s="605">
        <v>1372919.0822587274</v>
      </c>
      <c r="G54" s="605">
        <v>126998.68497772227</v>
      </c>
      <c r="H54" s="608">
        <v>60441.112535950793</v>
      </c>
      <c r="I54" s="608">
        <v>7749.7509280873519</v>
      </c>
      <c r="J54" s="605">
        <v>39774.558390327191</v>
      </c>
      <c r="K54" s="609">
        <f t="shared" si="0"/>
        <v>3888122.1268320875</v>
      </c>
    </row>
    <row r="55" spans="1:11" x14ac:dyDescent="0.25">
      <c r="A55" s="62" t="s">
        <v>511</v>
      </c>
      <c r="B55" s="62" t="s">
        <v>512</v>
      </c>
      <c r="C55" s="606">
        <v>8055568.4699999997</v>
      </c>
      <c r="D55" s="607">
        <v>2110131.35</v>
      </c>
      <c r="E55" s="605">
        <v>37946483.698405124</v>
      </c>
      <c r="F55" s="605"/>
      <c r="G55" s="605">
        <v>978864.96313874633</v>
      </c>
      <c r="H55" s="608">
        <v>1512959.7950855575</v>
      </c>
      <c r="I55" s="608">
        <v>130585.05537935602</v>
      </c>
      <c r="J55" s="605">
        <v>428322.18193187221</v>
      </c>
      <c r="K55" s="609">
        <f t="shared" si="0"/>
        <v>51162915.513940655</v>
      </c>
    </row>
    <row r="56" spans="1:11" x14ac:dyDescent="0.25">
      <c r="A56" s="62" t="s">
        <v>511</v>
      </c>
      <c r="B56" s="62" t="s">
        <v>513</v>
      </c>
      <c r="C56" s="606">
        <v>4999143.8099999996</v>
      </c>
      <c r="D56" s="607">
        <v>1262310.1000000001</v>
      </c>
      <c r="E56" s="605">
        <v>5997982.7963699717</v>
      </c>
      <c r="F56" s="605"/>
      <c r="G56" s="605">
        <v>260891.05401695127</v>
      </c>
      <c r="H56" s="608">
        <v>1210183.716671003</v>
      </c>
      <c r="I56" s="608">
        <v>47844.568463288015</v>
      </c>
      <c r="J56" s="605">
        <v>602612.84406343289</v>
      </c>
      <c r="K56" s="609">
        <f t="shared" si="0"/>
        <v>14380968.889584647</v>
      </c>
    </row>
    <row r="57" spans="1:11" x14ac:dyDescent="0.25">
      <c r="A57" s="62" t="s">
        <v>511</v>
      </c>
      <c r="B57" s="62" t="s">
        <v>514</v>
      </c>
      <c r="C57" s="606">
        <v>992748.93</v>
      </c>
      <c r="D57" s="607">
        <v>511382.53</v>
      </c>
      <c r="E57" s="605">
        <v>2353956.5585140307</v>
      </c>
      <c r="F57" s="605"/>
      <c r="G57" s="605">
        <v>62564.93450661924</v>
      </c>
      <c r="H57" s="608">
        <v>363149.40102138062</v>
      </c>
      <c r="I57" s="608">
        <v>11795.925557502564</v>
      </c>
      <c r="J57" s="605">
        <v>100805.25958755816</v>
      </c>
      <c r="K57" s="609">
        <f t="shared" si="0"/>
        <v>4396403.5391870914</v>
      </c>
    </row>
    <row r="58" spans="1:11" x14ac:dyDescent="0.25">
      <c r="A58" s="62" t="s">
        <v>511</v>
      </c>
      <c r="B58" s="62" t="s">
        <v>515</v>
      </c>
      <c r="C58" s="606">
        <v>913225.41</v>
      </c>
      <c r="D58" s="607">
        <v>310099.26</v>
      </c>
      <c r="E58" s="605">
        <v>2481511.9691244969</v>
      </c>
      <c r="F58" s="605"/>
      <c r="G58" s="605">
        <v>42401.661565678092</v>
      </c>
      <c r="H58" s="608">
        <v>100406.93045452153</v>
      </c>
      <c r="I58" s="608">
        <v>11282.342257456437</v>
      </c>
      <c r="J58" s="605">
        <v>14306.587396816065</v>
      </c>
      <c r="K58" s="609">
        <f t="shared" si="0"/>
        <v>3873234.1607989687</v>
      </c>
    </row>
    <row r="59" spans="1:11" x14ac:dyDescent="0.25">
      <c r="A59" s="62" t="s">
        <v>511</v>
      </c>
      <c r="B59" s="62" t="s">
        <v>516</v>
      </c>
      <c r="C59" s="606">
        <v>10580071.039999999</v>
      </c>
      <c r="D59" s="607">
        <v>1758200.49</v>
      </c>
      <c r="E59" s="605">
        <v>31072401.179150864</v>
      </c>
      <c r="F59" s="605"/>
      <c r="G59" s="605">
        <v>856243.83651126653</v>
      </c>
      <c r="H59" s="608">
        <v>1179385.3628332475</v>
      </c>
      <c r="I59" s="608">
        <v>37218.922156975692</v>
      </c>
      <c r="J59" s="605">
        <v>248816.43372064424</v>
      </c>
      <c r="K59" s="609">
        <f t="shared" si="0"/>
        <v>45732337.264372997</v>
      </c>
    </row>
    <row r="60" spans="1:11" x14ac:dyDescent="0.25">
      <c r="A60" s="62" t="s">
        <v>517</v>
      </c>
      <c r="B60" s="62" t="s">
        <v>518</v>
      </c>
      <c r="C60" s="606">
        <v>1866169.71</v>
      </c>
      <c r="D60" s="607">
        <v>748243.93</v>
      </c>
      <c r="E60" s="605">
        <v>2984339.1808946677</v>
      </c>
      <c r="F60" s="605"/>
      <c r="G60" s="605">
        <v>24729.697926360863</v>
      </c>
      <c r="H60" s="608">
        <v>54032.794767079926</v>
      </c>
      <c r="I60" s="608">
        <v>2504.7129328996821</v>
      </c>
      <c r="J60" s="605">
        <v>108029.62467129335</v>
      </c>
      <c r="K60" s="609">
        <f t="shared" si="0"/>
        <v>5788049.6511923019</v>
      </c>
    </row>
    <row r="61" spans="1:11" x14ac:dyDescent="0.25">
      <c r="A61" s="62" t="s">
        <v>519</v>
      </c>
      <c r="B61" s="62" t="s">
        <v>520</v>
      </c>
      <c r="C61" s="606">
        <v>990058.61</v>
      </c>
      <c r="D61" s="607">
        <v>557261.01</v>
      </c>
      <c r="E61" s="605">
        <v>2108639.7623888557</v>
      </c>
      <c r="F61" s="605">
        <v>391360.23761114432</v>
      </c>
      <c r="G61" s="605">
        <v>0</v>
      </c>
      <c r="H61" s="608">
        <v>1254645.5651172234</v>
      </c>
      <c r="I61" s="608">
        <v>9608.6063460370096</v>
      </c>
      <c r="J61" s="605">
        <v>124235.29983346834</v>
      </c>
      <c r="K61" s="609">
        <f t="shared" si="0"/>
        <v>5435809.0912967287</v>
      </c>
    </row>
    <row r="62" spans="1:11" x14ac:dyDescent="0.25">
      <c r="A62" s="62" t="s">
        <v>521</v>
      </c>
      <c r="B62" s="62" t="s">
        <v>522</v>
      </c>
      <c r="C62" s="606">
        <v>404118.87</v>
      </c>
      <c r="D62" s="607">
        <v>269832.15999999997</v>
      </c>
      <c r="E62" s="605">
        <v>1300649.2650176901</v>
      </c>
      <c r="F62" s="605">
        <v>1199350.7349823099</v>
      </c>
      <c r="G62" s="605">
        <v>60722.649291135058</v>
      </c>
      <c r="H62" s="608">
        <v>27752.76289239994</v>
      </c>
      <c r="I62" s="608">
        <v>27094.567979198877</v>
      </c>
      <c r="J62" s="605">
        <v>6855.9148634601825</v>
      </c>
      <c r="K62" s="609">
        <f t="shared" si="0"/>
        <v>3296376.9250261942</v>
      </c>
    </row>
    <row r="63" spans="1:11" x14ac:dyDescent="0.25">
      <c r="A63" s="62" t="s">
        <v>523</v>
      </c>
      <c r="B63" s="62" t="s">
        <v>524</v>
      </c>
      <c r="C63" s="606">
        <v>2148611.65</v>
      </c>
      <c r="D63" s="607">
        <v>1200582.9099999999</v>
      </c>
      <c r="E63" s="605">
        <v>5868263.0343455123</v>
      </c>
      <c r="F63" s="605"/>
      <c r="G63" s="605">
        <v>258790.04928132909</v>
      </c>
      <c r="H63" s="608">
        <v>396313.64401260082</v>
      </c>
      <c r="I63" s="608">
        <v>53527.103042897957</v>
      </c>
      <c r="J63" s="605">
        <v>148230.581121417</v>
      </c>
      <c r="K63" s="609">
        <f t="shared" si="0"/>
        <v>10074318.971803756</v>
      </c>
    </row>
    <row r="64" spans="1:11" x14ac:dyDescent="0.25">
      <c r="A64" s="62" t="s">
        <v>525</v>
      </c>
      <c r="B64" s="62" t="s">
        <v>526</v>
      </c>
      <c r="C64" s="606">
        <v>3948128.45</v>
      </c>
      <c r="D64" s="607">
        <v>1595798.42</v>
      </c>
      <c r="E64" s="605">
        <v>12021375.503188508</v>
      </c>
      <c r="F64" s="605"/>
      <c r="G64" s="605">
        <v>322371.71685673995</v>
      </c>
      <c r="H64" s="608">
        <v>724910.82265565323</v>
      </c>
      <c r="I64" s="608">
        <v>37066.329142729788</v>
      </c>
      <c r="J64" s="605">
        <v>152614.75847300145</v>
      </c>
      <c r="K64" s="609">
        <f t="shared" si="0"/>
        <v>18802266.000316631</v>
      </c>
    </row>
    <row r="65" spans="1:11" x14ac:dyDescent="0.25">
      <c r="A65" s="62" t="s">
        <v>527</v>
      </c>
      <c r="B65" s="62" t="s">
        <v>528</v>
      </c>
      <c r="C65" s="606">
        <v>1481156.69</v>
      </c>
      <c r="D65" s="607">
        <v>559859.13</v>
      </c>
      <c r="E65" s="605">
        <v>1872024.9691803348</v>
      </c>
      <c r="F65" s="605"/>
      <c r="G65" s="605">
        <v>563126.48820070468</v>
      </c>
      <c r="H65" s="608">
        <v>155361.8090262601</v>
      </c>
      <c r="I65" s="608">
        <v>13186.982183115268</v>
      </c>
      <c r="J65" s="605">
        <v>258400.90548433221</v>
      </c>
      <c r="K65" s="609">
        <f t="shared" si="0"/>
        <v>4903116.9740747465</v>
      </c>
    </row>
    <row r="66" spans="1:11" x14ac:dyDescent="0.25">
      <c r="A66" s="62" t="s">
        <v>527</v>
      </c>
      <c r="B66" s="62" t="s">
        <v>529</v>
      </c>
      <c r="C66" s="606">
        <v>1209084.97</v>
      </c>
      <c r="D66" s="607">
        <v>364397.25</v>
      </c>
      <c r="E66" s="605">
        <v>1787160.7054069948</v>
      </c>
      <c r="F66" s="605"/>
      <c r="G66" s="605">
        <v>0</v>
      </c>
      <c r="H66" s="608">
        <v>36590.027471595189</v>
      </c>
      <c r="I66" s="608">
        <v>5317.0775562206827</v>
      </c>
      <c r="J66" s="605">
        <v>4425.4176606127585</v>
      </c>
      <c r="K66" s="609">
        <f t="shared" si="0"/>
        <v>3406975.4480954232</v>
      </c>
    </row>
    <row r="67" spans="1:11" x14ac:dyDescent="0.25">
      <c r="A67" s="62" t="s">
        <v>527</v>
      </c>
      <c r="B67" s="62" t="s">
        <v>530</v>
      </c>
      <c r="C67" s="606">
        <v>4247698.54</v>
      </c>
      <c r="D67" s="607">
        <v>1298708.97</v>
      </c>
      <c r="E67" s="605">
        <v>5027624.6537991688</v>
      </c>
      <c r="F67" s="605"/>
      <c r="G67" s="605">
        <v>0</v>
      </c>
      <c r="H67" s="608">
        <v>982192.88703949039</v>
      </c>
      <c r="I67" s="608">
        <v>61948.541297383745</v>
      </c>
      <c r="J67" s="605">
        <v>327901.24041043752</v>
      </c>
      <c r="K67" s="609">
        <f t="shared" si="0"/>
        <v>11946074.83254648</v>
      </c>
    </row>
    <row r="68" spans="1:11" x14ac:dyDescent="0.25">
      <c r="A68" s="62" t="s">
        <v>531</v>
      </c>
      <c r="B68" s="62" t="s">
        <v>532</v>
      </c>
      <c r="C68" s="606">
        <v>5897451.7599999998</v>
      </c>
      <c r="D68" s="607">
        <v>1872786.44</v>
      </c>
      <c r="E68" s="605">
        <v>13416495.588543879</v>
      </c>
      <c r="F68" s="605"/>
      <c r="G68" s="605">
        <v>815212.80292920535</v>
      </c>
      <c r="H68" s="608">
        <v>511384.25625728967</v>
      </c>
      <c r="I68" s="608">
        <v>57376.82189185646</v>
      </c>
      <c r="J68" s="605">
        <v>330609.85162870551</v>
      </c>
      <c r="K68" s="609">
        <f t="shared" si="0"/>
        <v>22901317.521250933</v>
      </c>
    </row>
    <row r="69" spans="1:11" x14ac:dyDescent="0.25">
      <c r="A69" s="62" t="s">
        <v>533</v>
      </c>
      <c r="B69" s="62" t="s">
        <v>534</v>
      </c>
      <c r="C69" s="606">
        <v>13184415.890000001</v>
      </c>
      <c r="D69" s="607">
        <v>4701650.51</v>
      </c>
      <c r="E69" s="605">
        <v>34486050.510583915</v>
      </c>
      <c r="F69" s="605"/>
      <c r="G69" s="605">
        <v>1022656.9454799941</v>
      </c>
      <c r="H69" s="608">
        <v>3803774.7574941325</v>
      </c>
      <c r="I69" s="608">
        <v>248600.17794086528</v>
      </c>
      <c r="J69" s="605">
        <v>2412029.4016300486</v>
      </c>
      <c r="K69" s="609">
        <f t="shared" si="0"/>
        <v>59859178.193128958</v>
      </c>
    </row>
    <row r="70" spans="1:11" x14ac:dyDescent="0.25">
      <c r="A70" s="62" t="s">
        <v>533</v>
      </c>
      <c r="B70" s="62" t="s">
        <v>535</v>
      </c>
      <c r="C70" s="606">
        <v>8759333.4299999997</v>
      </c>
      <c r="D70" s="607">
        <v>1894248.16</v>
      </c>
      <c r="E70" s="605">
        <v>39745242.02243109</v>
      </c>
      <c r="F70" s="605"/>
      <c r="G70" s="605">
        <v>1072775.4773586164</v>
      </c>
      <c r="H70" s="608">
        <v>1485589.3258986471</v>
      </c>
      <c r="I70" s="608">
        <v>126235.67785932911</v>
      </c>
      <c r="J70" s="605">
        <v>506583.62530965003</v>
      </c>
      <c r="K70" s="609">
        <f t="shared" ref="K70:K85" si="1">SUM(C70:J70)</f>
        <v>53590007.718857341</v>
      </c>
    </row>
    <row r="71" spans="1:11" x14ac:dyDescent="0.25">
      <c r="A71" s="62" t="s">
        <v>536</v>
      </c>
      <c r="B71" s="62" t="s">
        <v>537</v>
      </c>
      <c r="C71" s="606">
        <v>832712.36</v>
      </c>
      <c r="D71" s="607">
        <v>307236.65999999997</v>
      </c>
      <c r="E71" s="605">
        <v>1175960.742123906</v>
      </c>
      <c r="F71" s="605">
        <v>869575.88787609385</v>
      </c>
      <c r="G71" s="605">
        <v>125993.3527270936</v>
      </c>
      <c r="H71" s="608">
        <v>72163.423939472763</v>
      </c>
      <c r="I71" s="608">
        <v>22653.870211894162</v>
      </c>
      <c r="J71" s="605">
        <v>25867.868017037054</v>
      </c>
      <c r="K71" s="609">
        <f t="shared" si="1"/>
        <v>3432164.1648954973</v>
      </c>
    </row>
    <row r="72" spans="1:11" x14ac:dyDescent="0.25">
      <c r="A72" s="62" t="s">
        <v>538</v>
      </c>
      <c r="B72" s="62" t="s">
        <v>539</v>
      </c>
      <c r="C72" s="606">
        <v>2081756.39</v>
      </c>
      <c r="D72" s="607">
        <v>1101103.68</v>
      </c>
      <c r="E72" s="605">
        <v>7432314.2059638612</v>
      </c>
      <c r="F72" s="605"/>
      <c r="G72" s="605">
        <v>377676.84836704878</v>
      </c>
      <c r="H72" s="608">
        <v>170841.53566580015</v>
      </c>
      <c r="I72" s="608">
        <v>11641.254070833189</v>
      </c>
      <c r="J72" s="605">
        <v>117401.27345497151</v>
      </c>
      <c r="K72" s="609">
        <f t="shared" si="1"/>
        <v>11292735.187522516</v>
      </c>
    </row>
    <row r="73" spans="1:11" x14ac:dyDescent="0.25">
      <c r="A73" s="62" t="s">
        <v>538</v>
      </c>
      <c r="B73" s="62" t="s">
        <v>540</v>
      </c>
      <c r="C73" s="606">
        <v>3198242.75</v>
      </c>
      <c r="D73" s="607">
        <v>1175964.52</v>
      </c>
      <c r="E73" s="605">
        <v>11471408.897234218</v>
      </c>
      <c r="F73" s="605"/>
      <c r="G73" s="605">
        <v>690692.54798154533</v>
      </c>
      <c r="H73" s="608">
        <v>586612.56984574453</v>
      </c>
      <c r="I73" s="608">
        <v>49114.565341764843</v>
      </c>
      <c r="J73" s="605">
        <v>138883.20493698213</v>
      </c>
      <c r="K73" s="609">
        <f t="shared" si="1"/>
        <v>17310919.055340253</v>
      </c>
    </row>
    <row r="74" spans="1:11" x14ac:dyDescent="0.25">
      <c r="A74" s="62" t="s">
        <v>538</v>
      </c>
      <c r="B74" s="62" t="s">
        <v>541</v>
      </c>
      <c r="C74" s="606">
        <v>1133364.5</v>
      </c>
      <c r="D74" s="607">
        <v>613698.88</v>
      </c>
      <c r="E74" s="605">
        <v>2371335.3035133705</v>
      </c>
      <c r="F74" s="605"/>
      <c r="G74" s="605">
        <v>117847.29863150416</v>
      </c>
      <c r="H74" s="608">
        <v>1683333.5276193842</v>
      </c>
      <c r="I74" s="608">
        <v>96819.569988742471</v>
      </c>
      <c r="J74" s="605">
        <v>90176.31919162393</v>
      </c>
      <c r="K74" s="609">
        <f t="shared" si="1"/>
        <v>6106575.3989446247</v>
      </c>
    </row>
    <row r="75" spans="1:11" x14ac:dyDescent="0.25">
      <c r="A75" s="62" t="s">
        <v>538</v>
      </c>
      <c r="B75" s="62" t="s">
        <v>542</v>
      </c>
      <c r="C75" s="606">
        <v>892411.43</v>
      </c>
      <c r="D75" s="607">
        <v>433313.62</v>
      </c>
      <c r="E75" s="605">
        <v>2394212.4218781623</v>
      </c>
      <c r="F75" s="605"/>
      <c r="G75" s="605">
        <v>149346.28825954016</v>
      </c>
      <c r="H75" s="608">
        <v>339748.2276068668</v>
      </c>
      <c r="I75" s="608">
        <v>25536.576653591026</v>
      </c>
      <c r="J75" s="605">
        <v>44013.375357173012</v>
      </c>
      <c r="K75" s="609">
        <f t="shared" si="1"/>
        <v>4278581.9397553345</v>
      </c>
    </row>
    <row r="76" spans="1:11" x14ac:dyDescent="0.25">
      <c r="A76" s="62" t="s">
        <v>538</v>
      </c>
      <c r="B76" s="62" t="s">
        <v>543</v>
      </c>
      <c r="C76" s="606">
        <v>1681807.12</v>
      </c>
      <c r="D76" s="607">
        <v>968250.01</v>
      </c>
      <c r="E76" s="605">
        <v>9923556.1480240636</v>
      </c>
      <c r="F76" s="605"/>
      <c r="G76" s="605">
        <v>558873.50157053152</v>
      </c>
      <c r="H76" s="608">
        <v>1729293.4893300652</v>
      </c>
      <c r="I76" s="608">
        <v>181441.29051703785</v>
      </c>
      <c r="J76" s="605">
        <v>240470.04849823215</v>
      </c>
      <c r="K76" s="609">
        <f t="shared" si="1"/>
        <v>15283691.607939929</v>
      </c>
    </row>
    <row r="77" spans="1:11" x14ac:dyDescent="0.25">
      <c r="A77" s="62" t="s">
        <v>538</v>
      </c>
      <c r="B77" s="62" t="s">
        <v>544</v>
      </c>
      <c r="C77" s="606">
        <v>3175729.89</v>
      </c>
      <c r="D77" s="607">
        <v>1096861.95</v>
      </c>
      <c r="E77" s="605">
        <v>10582739.742599146</v>
      </c>
      <c r="F77" s="605"/>
      <c r="G77" s="605">
        <v>640879.48915431753</v>
      </c>
      <c r="H77" s="608">
        <v>1074756.8700795162</v>
      </c>
      <c r="I77" s="608">
        <v>113750.16858927098</v>
      </c>
      <c r="J77" s="605">
        <v>744153.0125806859</v>
      </c>
      <c r="K77" s="609">
        <f t="shared" si="1"/>
        <v>17428871.123002939</v>
      </c>
    </row>
    <row r="78" spans="1:11" x14ac:dyDescent="0.25">
      <c r="A78" s="62" t="s">
        <v>538</v>
      </c>
      <c r="B78" s="62" t="s">
        <v>545</v>
      </c>
      <c r="C78" s="606">
        <v>5067432.92</v>
      </c>
      <c r="D78" s="607">
        <v>1591760.9</v>
      </c>
      <c r="E78" s="605">
        <v>7526463.4074905887</v>
      </c>
      <c r="F78" s="605"/>
      <c r="G78" s="605">
        <v>454299.67232707574</v>
      </c>
      <c r="H78" s="608">
        <v>677693.60030112311</v>
      </c>
      <c r="I78" s="608">
        <v>67753.121633161936</v>
      </c>
      <c r="J78" s="605">
        <v>1245139.7467755517</v>
      </c>
      <c r="K78" s="609">
        <f t="shared" si="1"/>
        <v>16630543.368527502</v>
      </c>
    </row>
    <row r="79" spans="1:11" x14ac:dyDescent="0.25">
      <c r="A79" s="62" t="s">
        <v>546</v>
      </c>
      <c r="B79" s="62" t="s">
        <v>547</v>
      </c>
      <c r="C79" s="606">
        <v>4260601.5999999996</v>
      </c>
      <c r="D79" s="607">
        <v>1568457.67</v>
      </c>
      <c r="E79" s="605">
        <v>12894833.466032622</v>
      </c>
      <c r="F79" s="605"/>
      <c r="G79" s="605">
        <v>499958.66886472696</v>
      </c>
      <c r="H79" s="608">
        <v>1075619.852483727</v>
      </c>
      <c r="I79" s="608">
        <v>100366.8114022392</v>
      </c>
      <c r="J79" s="605">
        <v>502136.92180412513</v>
      </c>
      <c r="K79" s="609">
        <f t="shared" si="1"/>
        <v>20901974.990587439</v>
      </c>
    </row>
    <row r="80" spans="1:11" x14ac:dyDescent="0.25">
      <c r="A80" s="62" t="s">
        <v>548</v>
      </c>
      <c r="B80" s="62" t="s">
        <v>549</v>
      </c>
      <c r="C80" s="606">
        <v>1564230.67</v>
      </c>
      <c r="D80" s="607">
        <v>903969.23</v>
      </c>
      <c r="E80" s="605">
        <v>1340945.2375719023</v>
      </c>
      <c r="F80" s="605">
        <v>1159054.7624280977</v>
      </c>
      <c r="G80" s="605">
        <v>205365.96978237759</v>
      </c>
      <c r="H80" s="608">
        <v>360623.86380901962</v>
      </c>
      <c r="I80" s="608">
        <v>21232.233252599253</v>
      </c>
      <c r="J80" s="605">
        <v>85521.305415621202</v>
      </c>
      <c r="K80" s="609">
        <f t="shared" si="1"/>
        <v>5640943.2722596163</v>
      </c>
    </row>
    <row r="81" spans="1:11" x14ac:dyDescent="0.25">
      <c r="A81" s="62" t="s">
        <v>550</v>
      </c>
      <c r="B81" s="62" t="s">
        <v>551</v>
      </c>
      <c r="C81" s="606">
        <v>1366369.71</v>
      </c>
      <c r="D81" s="607">
        <v>622817.39</v>
      </c>
      <c r="E81" s="605">
        <v>1808159.5684762623</v>
      </c>
      <c r="F81" s="605">
        <v>691840.43152373773</v>
      </c>
      <c r="G81" s="605">
        <v>181782.73596877512</v>
      </c>
      <c r="H81" s="608">
        <v>298423.91577223758</v>
      </c>
      <c r="I81" s="608">
        <v>9524.1634254474448</v>
      </c>
      <c r="J81" s="605">
        <v>92674.338268824577</v>
      </c>
      <c r="K81" s="609">
        <f t="shared" si="1"/>
        <v>5071592.2534352848</v>
      </c>
    </row>
    <row r="82" spans="1:11" x14ac:dyDescent="0.25">
      <c r="A82" s="62" t="s">
        <v>552</v>
      </c>
      <c r="B82" s="62" t="s">
        <v>553</v>
      </c>
      <c r="C82" s="606">
        <v>1805465.59</v>
      </c>
      <c r="D82" s="607">
        <v>586050.85</v>
      </c>
      <c r="E82" s="605">
        <v>4613258.3783069057</v>
      </c>
      <c r="F82" s="605"/>
      <c r="G82" s="605">
        <v>152492.74749354867</v>
      </c>
      <c r="H82" s="608">
        <v>158183.44724040327</v>
      </c>
      <c r="I82" s="608">
        <v>28254.16285870241</v>
      </c>
      <c r="J82" s="603">
        <v>41105.280839315223</v>
      </c>
      <c r="K82" s="609">
        <f t="shared" si="1"/>
        <v>7384810.4567388752</v>
      </c>
    </row>
    <row r="83" spans="1:11" x14ac:dyDescent="0.25">
      <c r="A83" s="62" t="s">
        <v>552</v>
      </c>
      <c r="B83" s="62" t="s">
        <v>554</v>
      </c>
      <c r="C83" s="606">
        <v>1655984.25</v>
      </c>
      <c r="D83" s="607">
        <v>573275.18000000005</v>
      </c>
      <c r="E83" s="605">
        <v>10130678.758258216</v>
      </c>
      <c r="F83" s="605"/>
      <c r="G83" s="605">
        <v>387106.48505546158</v>
      </c>
      <c r="H83" s="608">
        <v>172057.45545094385</v>
      </c>
      <c r="I83" s="608">
        <v>20232.264629371242</v>
      </c>
      <c r="J83" s="608">
        <v>60286.914389063466</v>
      </c>
      <c r="K83" s="609">
        <f t="shared" si="1"/>
        <v>12999621.307783056</v>
      </c>
    </row>
    <row r="84" spans="1:11" x14ac:dyDescent="0.25">
      <c r="A84" s="62" t="s">
        <v>552</v>
      </c>
      <c r="B84" s="62" t="s">
        <v>555</v>
      </c>
      <c r="C84" s="606">
        <v>5991204.46</v>
      </c>
      <c r="D84" s="607">
        <v>1710186.41</v>
      </c>
      <c r="E84" s="605">
        <v>19633977.82267832</v>
      </c>
      <c r="F84" s="605"/>
      <c r="G84" s="605">
        <v>660105.73834713141</v>
      </c>
      <c r="H84" s="608">
        <v>2236929.3397833225</v>
      </c>
      <c r="I84" s="608">
        <v>145723.12767631043</v>
      </c>
      <c r="J84" s="608">
        <v>339539.45254915085</v>
      </c>
      <c r="K84" s="609">
        <f t="shared" si="1"/>
        <v>30717666.351034239</v>
      </c>
    </row>
    <row r="85" spans="1:11" x14ac:dyDescent="0.25">
      <c r="A85" s="62" t="s">
        <v>552</v>
      </c>
      <c r="B85" s="62" t="s">
        <v>556</v>
      </c>
      <c r="C85" s="606">
        <v>2081523.46</v>
      </c>
      <c r="D85" s="607">
        <v>551282.98</v>
      </c>
      <c r="E85" s="605">
        <v>16266975.712218855</v>
      </c>
      <c r="F85" s="605"/>
      <c r="G85" s="605">
        <v>734052.13008242159</v>
      </c>
      <c r="H85" s="608">
        <v>297526.67796285893</v>
      </c>
      <c r="I85" s="608">
        <v>73873.057886517243</v>
      </c>
      <c r="J85" s="608">
        <v>221346.92046386597</v>
      </c>
      <c r="K85" s="609">
        <f t="shared" si="1"/>
        <v>20226580.938614521</v>
      </c>
    </row>
    <row r="86" spans="1:11" x14ac:dyDescent="0.25">
      <c r="C86" s="610"/>
      <c r="D86" s="606"/>
      <c r="F86" s="605"/>
    </row>
    <row r="87" spans="1:11" x14ac:dyDescent="0.25">
      <c r="A87" s="62" t="s">
        <v>91</v>
      </c>
      <c r="C87" s="604">
        <f t="shared" ref="C87:J87" si="2">SUM(C5:C85)</f>
        <v>249069749.91</v>
      </c>
      <c r="D87" s="604">
        <f t="shared" si="2"/>
        <v>80892728.710000038</v>
      </c>
      <c r="E87" s="604">
        <f t="shared" si="2"/>
        <v>762645377.08603537</v>
      </c>
      <c r="F87" s="604">
        <f t="shared" si="2"/>
        <v>10789034.089330301</v>
      </c>
      <c r="G87" s="604">
        <f t="shared" si="2"/>
        <v>25892951.672148716</v>
      </c>
      <c r="H87" s="604">
        <f t="shared" si="2"/>
        <v>54012461.503526382</v>
      </c>
      <c r="I87" s="604">
        <f t="shared" si="2"/>
        <v>4096719.4681990771</v>
      </c>
      <c r="J87" s="604">
        <f t="shared" si="2"/>
        <v>21548915.230837651</v>
      </c>
      <c r="K87" s="608">
        <f>SUM(C87:J87)</f>
        <v>1208947937.6700773</v>
      </c>
    </row>
    <row r="88" spans="1:11" x14ac:dyDescent="0.25">
      <c r="A88" s="62" t="s">
        <v>557</v>
      </c>
      <c r="C88" s="608">
        <v>249069749.91</v>
      </c>
      <c r="D88" s="611">
        <v>80892728.709999993</v>
      </c>
      <c r="E88" s="608">
        <v>762645377.08603537</v>
      </c>
      <c r="F88" s="608">
        <v>10789034.089330303</v>
      </c>
    </row>
  </sheetData>
  <pageMargins left="0.7" right="0.7" top="0.75" bottom="0.75" header="0.3" footer="0.3"/>
  <pageSetup scale="51" fitToHeight="0" orientation="landscape" r:id="rId1"/>
  <headerFooter>
    <oddFooter>&amp;L&amp;Z&amp;F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L96"/>
  <sheetViews>
    <sheetView zoomScaleNormal="100" workbookViewId="0">
      <selection activeCell="H6" sqref="H6"/>
    </sheetView>
  </sheetViews>
  <sheetFormatPr defaultRowHeight="15" x14ac:dyDescent="0.25"/>
  <cols>
    <col min="1" max="1" width="19.85546875" style="1" customWidth="1"/>
    <col min="2" max="2" width="13.28515625" style="1" customWidth="1"/>
    <col min="3" max="3" width="10.42578125" style="230" customWidth="1"/>
    <col min="4" max="4" width="14.5703125" style="1" customWidth="1"/>
    <col min="5" max="5" width="11.5703125" style="230" customWidth="1"/>
    <col min="6" max="6" width="13" style="1" customWidth="1"/>
    <col min="7" max="7" width="17.28515625" style="1" customWidth="1"/>
    <col min="8" max="8" width="13.28515625" style="1" customWidth="1"/>
    <col min="9" max="9" width="13.7109375" style="1" customWidth="1"/>
    <col min="10" max="10" width="16.7109375" style="1" customWidth="1"/>
    <col min="11" max="11" width="15" style="1" customWidth="1"/>
    <col min="12" max="12" width="12.28515625" style="1" customWidth="1"/>
    <col min="13" max="13" width="12.7109375" style="1" bestFit="1" customWidth="1"/>
    <col min="14" max="14" width="13.85546875" style="1" bestFit="1" customWidth="1"/>
    <col min="15" max="15" width="12.7109375" style="1" bestFit="1" customWidth="1"/>
    <col min="16" max="16" width="9.7109375" style="1" bestFit="1" customWidth="1"/>
    <col min="17" max="17" width="7" style="1" bestFit="1" customWidth="1"/>
    <col min="18" max="16384" width="9.140625" style="1"/>
  </cols>
  <sheetData>
    <row r="1" spans="1:11" ht="23.25" x14ac:dyDescent="0.35">
      <c r="A1" s="229" t="s">
        <v>669</v>
      </c>
    </row>
    <row r="2" spans="1:11" ht="15.75" customHeight="1" thickBot="1" x14ac:dyDescent="0.4">
      <c r="A2" s="229"/>
    </row>
    <row r="3" spans="1:11" s="353" customFormat="1" ht="13.5" thickBot="1" x14ac:dyDescent="0.25">
      <c r="A3" s="640" t="s">
        <v>94</v>
      </c>
      <c r="B3" s="352"/>
      <c r="D3" s="836" t="s">
        <v>104</v>
      </c>
      <c r="E3" s="837"/>
      <c r="F3" s="838"/>
    </row>
    <row r="4" spans="1:11" s="353" customFormat="1" ht="25.5" x14ac:dyDescent="0.2">
      <c r="A4" s="354" t="s">
        <v>163</v>
      </c>
      <c r="B4" s="37">
        <f>Amounts!B4</f>
        <v>44586</v>
      </c>
      <c r="D4" s="355" t="s">
        <v>102</v>
      </c>
      <c r="E4" s="651"/>
      <c r="F4" s="10">
        <f>Amounts!B17</f>
        <v>16.5</v>
      </c>
    </row>
    <row r="5" spans="1:11" s="353" customFormat="1" ht="13.5" thickBot="1" x14ac:dyDescent="0.25">
      <c r="A5" s="354" t="s">
        <v>138</v>
      </c>
      <c r="B5" s="37">
        <f>B4*C9</f>
        <v>12600.0036</v>
      </c>
      <c r="D5" s="356" t="s">
        <v>103</v>
      </c>
      <c r="E5" s="652"/>
      <c r="F5" s="11">
        <f>Amounts!C17</f>
        <v>21.5</v>
      </c>
    </row>
    <row r="6" spans="1:11" s="353" customFormat="1" ht="12.75" x14ac:dyDescent="0.2">
      <c r="A6" s="355" t="s">
        <v>98</v>
      </c>
      <c r="B6" s="37">
        <f>Amounts!B6</f>
        <v>6798</v>
      </c>
    </row>
    <row r="7" spans="1:11" s="353" customFormat="1" ht="13.5" thickBot="1" x14ac:dyDescent="0.25">
      <c r="A7" s="644" t="s">
        <v>96</v>
      </c>
      <c r="B7" s="645">
        <f>SUM(B4:B6)</f>
        <v>63984.003599999996</v>
      </c>
    </row>
    <row r="8" spans="1:11" s="353" customFormat="1" ht="12.75" x14ac:dyDescent="0.2"/>
    <row r="9" spans="1:11" ht="15.75" customHeight="1" thickBot="1" x14ac:dyDescent="0.3">
      <c r="A9" s="648" t="s">
        <v>137</v>
      </c>
      <c r="B9" s="649"/>
      <c r="C9" s="231">
        <f>Amounts!B9</f>
        <v>0.28260000000000002</v>
      </c>
      <c r="D9" s="592"/>
      <c r="E9" s="647"/>
      <c r="F9" s="592"/>
    </row>
    <row r="10" spans="1:11" ht="15.75" thickBot="1" x14ac:dyDescent="0.3">
      <c r="B10" s="839" t="s">
        <v>809</v>
      </c>
      <c r="C10" s="840"/>
      <c r="D10" s="840"/>
      <c r="E10" s="840"/>
      <c r="F10" s="840"/>
      <c r="G10" s="840"/>
      <c r="H10" s="840"/>
      <c r="I10" s="840"/>
      <c r="J10" s="840"/>
      <c r="K10" s="841"/>
    </row>
    <row r="11" spans="1:11" ht="15.75" thickBot="1" x14ac:dyDescent="0.3">
      <c r="B11" s="833" t="s">
        <v>93</v>
      </c>
      <c r="C11" s="834"/>
      <c r="D11" s="834"/>
      <c r="E11" s="834"/>
      <c r="F11" s="833" t="s">
        <v>2</v>
      </c>
      <c r="G11" s="835"/>
      <c r="H11" s="833" t="s">
        <v>120</v>
      </c>
      <c r="I11" s="835"/>
      <c r="J11" s="833" t="s">
        <v>89</v>
      </c>
      <c r="K11" s="835"/>
    </row>
    <row r="12" spans="1:11" ht="15" customHeight="1" x14ac:dyDescent="0.25">
      <c r="A12" s="848" t="s">
        <v>0</v>
      </c>
      <c r="B12" s="844" t="s">
        <v>86</v>
      </c>
      <c r="C12" s="846" t="s">
        <v>85</v>
      </c>
      <c r="D12" s="846" t="s">
        <v>92</v>
      </c>
      <c r="E12" s="846" t="s">
        <v>108</v>
      </c>
      <c r="F12" s="844" t="s">
        <v>88</v>
      </c>
      <c r="G12" s="827" t="s">
        <v>3</v>
      </c>
      <c r="H12" s="844" t="s">
        <v>88</v>
      </c>
      <c r="I12" s="827" t="s">
        <v>3</v>
      </c>
      <c r="J12" s="844" t="s">
        <v>87</v>
      </c>
      <c r="K12" s="842" t="s">
        <v>105</v>
      </c>
    </row>
    <row r="13" spans="1:11" x14ac:dyDescent="0.25">
      <c r="A13" s="849"/>
      <c r="B13" s="845"/>
      <c r="C13" s="847"/>
      <c r="D13" s="847"/>
      <c r="E13" s="847"/>
      <c r="F13" s="845"/>
      <c r="G13" s="828"/>
      <c r="H13" s="845"/>
      <c r="I13" s="828"/>
      <c r="J13" s="845"/>
      <c r="K13" s="843"/>
    </row>
    <row r="14" spans="1:11" x14ac:dyDescent="0.25">
      <c r="A14" s="698" t="s">
        <v>715</v>
      </c>
      <c r="B14" s="690" t="s">
        <v>716</v>
      </c>
      <c r="C14" s="689" t="s">
        <v>717</v>
      </c>
      <c r="D14" s="689" t="s">
        <v>718</v>
      </c>
      <c r="E14" s="689" t="s">
        <v>719</v>
      </c>
      <c r="F14" s="690" t="s">
        <v>720</v>
      </c>
      <c r="G14" s="696" t="s">
        <v>721</v>
      </c>
      <c r="H14" s="690" t="s">
        <v>722</v>
      </c>
      <c r="I14" s="696" t="s">
        <v>723</v>
      </c>
      <c r="J14" s="690" t="s">
        <v>724</v>
      </c>
      <c r="K14" s="695" t="s">
        <v>725</v>
      </c>
    </row>
    <row r="15" spans="1:11" x14ac:dyDescent="0.25">
      <c r="A15" s="41" t="s">
        <v>4</v>
      </c>
      <c r="B15" s="219">
        <v>2915.96</v>
      </c>
      <c r="C15" s="236">
        <v>2006.13</v>
      </c>
      <c r="D15" s="14">
        <f t="shared" ref="D15:D46" si="0">C15/B15</f>
        <v>0.68798268837706966</v>
      </c>
      <c r="E15" s="13">
        <v>697.22</v>
      </c>
      <c r="F15" s="8">
        <f>E15*D15</f>
        <v>479.67528999026052</v>
      </c>
      <c r="G15" s="7">
        <f>(F15/$F$4)</f>
        <v>29.071229696379426</v>
      </c>
      <c r="H15" s="8">
        <f>E15-F15</f>
        <v>217.5447100097395</v>
      </c>
      <c r="I15" s="7">
        <f t="shared" ref="I15:I46" si="1">(H15/$F$5)</f>
        <v>10.118358605104163</v>
      </c>
      <c r="J15" s="8">
        <f>G15+I15</f>
        <v>39.189588301483589</v>
      </c>
      <c r="K15" s="12">
        <f t="shared" ref="K15:K46" si="2">J15*$B$7</f>
        <v>2507506.7589646438</v>
      </c>
    </row>
    <row r="16" spans="1:11" x14ac:dyDescent="0.25">
      <c r="A16" s="41" t="s">
        <v>5</v>
      </c>
      <c r="B16" s="219">
        <v>23246.81</v>
      </c>
      <c r="C16" s="236">
        <v>15253.01</v>
      </c>
      <c r="D16" s="14">
        <f t="shared" si="0"/>
        <v>0.65613346519371907</v>
      </c>
      <c r="E16" s="13">
        <v>5456.03</v>
      </c>
      <c r="F16" s="8">
        <f t="shared" ref="F16:F46" si="3">E16*D16</f>
        <v>3579.8838701008867</v>
      </c>
      <c r="G16" s="7">
        <f t="shared" ref="G16:G46" si="4">(F16/$F$4)</f>
        <v>216.96265879399314</v>
      </c>
      <c r="H16" s="8">
        <f t="shared" ref="H16:H46" si="5">E16-F16</f>
        <v>1876.146129899113</v>
      </c>
      <c r="I16" s="7">
        <f t="shared" si="1"/>
        <v>87.262610692981994</v>
      </c>
      <c r="J16" s="8">
        <f t="shared" ref="J16:J46" si="6">G16+I16</f>
        <v>304.22526948697515</v>
      </c>
      <c r="K16" s="12">
        <f t="shared" si="2"/>
        <v>19465550.738065585</v>
      </c>
    </row>
    <row r="17" spans="1:11" x14ac:dyDescent="0.25">
      <c r="A17" s="41" t="s">
        <v>6</v>
      </c>
      <c r="B17" s="219">
        <v>1028.55</v>
      </c>
      <c r="C17" s="236">
        <v>973.11</v>
      </c>
      <c r="D17" s="14">
        <f t="shared" si="0"/>
        <v>0.94609887705993878</v>
      </c>
      <c r="E17" s="13">
        <v>246.81</v>
      </c>
      <c r="F17" s="8">
        <f t="shared" si="3"/>
        <v>233.50666384716348</v>
      </c>
      <c r="G17" s="7">
        <f t="shared" si="4"/>
        <v>14.151919021040211</v>
      </c>
      <c r="H17" s="8">
        <f t="shared" si="5"/>
        <v>13.303336152836522</v>
      </c>
      <c r="I17" s="7">
        <f t="shared" si="1"/>
        <v>0.61875982106216376</v>
      </c>
      <c r="J17" s="8">
        <f t="shared" si="6"/>
        <v>14.770678842102374</v>
      </c>
      <c r="K17" s="12">
        <f t="shared" si="2"/>
        <v>945087.16820752202</v>
      </c>
    </row>
    <row r="18" spans="1:11" x14ac:dyDescent="0.25">
      <c r="A18" s="41" t="s">
        <v>7</v>
      </c>
      <c r="B18" s="219">
        <v>9875.19</v>
      </c>
      <c r="C18" s="236">
        <v>4961.09</v>
      </c>
      <c r="D18" s="14">
        <f t="shared" si="0"/>
        <v>0.50237919472941783</v>
      </c>
      <c r="E18" s="13">
        <v>2177.38</v>
      </c>
      <c r="F18" s="8">
        <f t="shared" si="3"/>
        <v>1093.8704110199399</v>
      </c>
      <c r="G18" s="7">
        <f t="shared" si="4"/>
        <v>66.295176425450904</v>
      </c>
      <c r="H18" s="8">
        <f t="shared" si="5"/>
        <v>1083.5095889800602</v>
      </c>
      <c r="I18" s="7">
        <f t="shared" si="1"/>
        <v>50.395794836281873</v>
      </c>
      <c r="J18" s="8">
        <f t="shared" si="6"/>
        <v>116.69097126173278</v>
      </c>
      <c r="K18" s="12">
        <f t="shared" si="2"/>
        <v>7466355.5252982061</v>
      </c>
    </row>
    <row r="19" spans="1:11" x14ac:dyDescent="0.25">
      <c r="A19" s="41" t="s">
        <v>8</v>
      </c>
      <c r="B19" s="219">
        <v>3618.89</v>
      </c>
      <c r="C19" s="236">
        <v>2306.6999999999998</v>
      </c>
      <c r="D19" s="14">
        <f t="shared" si="0"/>
        <v>0.63740539226116288</v>
      </c>
      <c r="E19" s="13">
        <v>791.79000000000008</v>
      </c>
      <c r="F19" s="8">
        <f t="shared" si="3"/>
        <v>504.69121553846622</v>
      </c>
      <c r="G19" s="7">
        <f t="shared" si="4"/>
        <v>30.587346396270679</v>
      </c>
      <c r="H19" s="8">
        <f t="shared" si="5"/>
        <v>287.09878446153385</v>
      </c>
      <c r="I19" s="7">
        <f t="shared" si="1"/>
        <v>13.35343183542018</v>
      </c>
      <c r="J19" s="8">
        <f t="shared" si="6"/>
        <v>43.940778231690857</v>
      </c>
      <c r="K19" s="12">
        <f t="shared" si="2"/>
        <v>2811506.9125633091</v>
      </c>
    </row>
    <row r="20" spans="1:11" x14ac:dyDescent="0.25">
      <c r="A20" s="41" t="s">
        <v>9</v>
      </c>
      <c r="B20" s="219">
        <v>2479.0500000000002</v>
      </c>
      <c r="C20" s="236">
        <v>1811.63</v>
      </c>
      <c r="D20" s="14">
        <f t="shared" si="0"/>
        <v>0.73077590205925658</v>
      </c>
      <c r="E20" s="13">
        <v>556.77</v>
      </c>
      <c r="F20" s="8">
        <f t="shared" si="3"/>
        <v>406.87409898953229</v>
      </c>
      <c r="G20" s="7">
        <f t="shared" si="4"/>
        <v>24.659036302395897</v>
      </c>
      <c r="H20" s="8">
        <f t="shared" si="5"/>
        <v>149.8959010104677</v>
      </c>
      <c r="I20" s="7">
        <f t="shared" si="1"/>
        <v>6.9719023725798932</v>
      </c>
      <c r="J20" s="8">
        <f t="shared" si="6"/>
        <v>31.630938674975791</v>
      </c>
      <c r="K20" s="12">
        <f t="shared" si="2"/>
        <v>2023874.0940510302</v>
      </c>
    </row>
    <row r="21" spans="1:11" x14ac:dyDescent="0.25">
      <c r="A21" s="41" t="s">
        <v>10</v>
      </c>
      <c r="B21" s="219">
        <v>2744.29</v>
      </c>
      <c r="C21" s="236">
        <v>1684.95</v>
      </c>
      <c r="D21" s="14">
        <f t="shared" si="0"/>
        <v>0.61398394484547913</v>
      </c>
      <c r="E21" s="13">
        <v>595.6</v>
      </c>
      <c r="F21" s="8">
        <f t="shared" si="3"/>
        <v>365.68883754996739</v>
      </c>
      <c r="G21" s="7">
        <f t="shared" si="4"/>
        <v>22.162959851513175</v>
      </c>
      <c r="H21" s="8">
        <f t="shared" si="5"/>
        <v>229.91116245003263</v>
      </c>
      <c r="I21" s="7">
        <f t="shared" si="1"/>
        <v>10.693542439536401</v>
      </c>
      <c r="J21" s="8">
        <f t="shared" si="6"/>
        <v>32.85650229104958</v>
      </c>
      <c r="K21" s="12">
        <f t="shared" si="2"/>
        <v>2102290.5608739243</v>
      </c>
    </row>
    <row r="22" spans="1:11" x14ac:dyDescent="0.25">
      <c r="A22" s="41" t="s">
        <v>11</v>
      </c>
      <c r="B22" s="219">
        <v>12671.61</v>
      </c>
      <c r="C22" s="236">
        <v>8210.69</v>
      </c>
      <c r="D22" s="14">
        <f t="shared" si="0"/>
        <v>0.64795949370285233</v>
      </c>
      <c r="E22" s="13">
        <v>2986.98</v>
      </c>
      <c r="F22" s="8">
        <f t="shared" si="3"/>
        <v>1935.4420485005458</v>
      </c>
      <c r="G22" s="7">
        <f t="shared" si="4"/>
        <v>117.29951809094217</v>
      </c>
      <c r="H22" s="8">
        <f t="shared" si="5"/>
        <v>1051.5379514994543</v>
      </c>
      <c r="I22" s="7">
        <f t="shared" si="1"/>
        <v>48.908741930207178</v>
      </c>
      <c r="J22" s="8">
        <f t="shared" si="6"/>
        <v>166.20826002114936</v>
      </c>
      <c r="K22" s="12">
        <f t="shared" si="2"/>
        <v>10634669.907542955</v>
      </c>
    </row>
    <row r="23" spans="1:11" x14ac:dyDescent="0.25">
      <c r="A23" s="41" t="s">
        <v>12</v>
      </c>
      <c r="B23" s="219">
        <v>1256.76</v>
      </c>
      <c r="C23" s="236">
        <v>988.98</v>
      </c>
      <c r="D23" s="14">
        <f t="shared" si="0"/>
        <v>0.78692829179795665</v>
      </c>
      <c r="E23" s="13">
        <v>277.94</v>
      </c>
      <c r="F23" s="8">
        <f t="shared" si="3"/>
        <v>218.71884942232407</v>
      </c>
      <c r="G23" s="7">
        <f t="shared" si="4"/>
        <v>13.255687843777217</v>
      </c>
      <c r="H23" s="8">
        <f t="shared" si="5"/>
        <v>59.221150577675928</v>
      </c>
      <c r="I23" s="7">
        <f t="shared" si="1"/>
        <v>2.7544721198919038</v>
      </c>
      <c r="J23" s="8">
        <f t="shared" si="6"/>
        <v>16.010159963669121</v>
      </c>
      <c r="K23" s="12">
        <f t="shared" si="2"/>
        <v>1024394.1327519809</v>
      </c>
    </row>
    <row r="24" spans="1:11" x14ac:dyDescent="0.25">
      <c r="A24" s="41" t="s">
        <v>13</v>
      </c>
      <c r="B24" s="219">
        <v>638.25</v>
      </c>
      <c r="C24" s="236">
        <v>596.16999999999996</v>
      </c>
      <c r="D24" s="14">
        <f t="shared" si="0"/>
        <v>0.93406972189580884</v>
      </c>
      <c r="E24" s="13">
        <v>174.57999999999998</v>
      </c>
      <c r="F24" s="8">
        <f t="shared" si="3"/>
        <v>163.0698920485703</v>
      </c>
      <c r="G24" s="7">
        <f t="shared" si="4"/>
        <v>9.8830237605194124</v>
      </c>
      <c r="H24" s="8">
        <f t="shared" si="5"/>
        <v>11.510107951429688</v>
      </c>
      <c r="I24" s="7">
        <f t="shared" si="1"/>
        <v>0.53535385820603199</v>
      </c>
      <c r="J24" s="8">
        <f t="shared" si="6"/>
        <v>10.418377618725444</v>
      </c>
      <c r="K24" s="12">
        <f t="shared" si="2"/>
        <v>666609.51106268819</v>
      </c>
    </row>
    <row r="25" spans="1:11" x14ac:dyDescent="0.25">
      <c r="A25" s="41" t="s">
        <v>14</v>
      </c>
      <c r="B25" s="219">
        <v>587.14</v>
      </c>
      <c r="C25" s="236">
        <v>560.97</v>
      </c>
      <c r="D25" s="14">
        <f t="shared" si="0"/>
        <v>0.95542800694893903</v>
      </c>
      <c r="E25" s="13">
        <v>126.25</v>
      </c>
      <c r="F25" s="8">
        <f t="shared" si="3"/>
        <v>120.62278587730356</v>
      </c>
      <c r="G25" s="7">
        <f t="shared" si="4"/>
        <v>7.3104718713517309</v>
      </c>
      <c r="H25" s="8">
        <f t="shared" si="5"/>
        <v>5.6272141226964436</v>
      </c>
      <c r="I25" s="7">
        <f t="shared" si="1"/>
        <v>0.26173088942774159</v>
      </c>
      <c r="J25" s="8">
        <f t="shared" si="6"/>
        <v>7.5722027607794722</v>
      </c>
      <c r="K25" s="12">
        <f t="shared" si="2"/>
        <v>484499.84870564367</v>
      </c>
    </row>
    <row r="26" spans="1:11" x14ac:dyDescent="0.25">
      <c r="A26" s="41" t="s">
        <v>15</v>
      </c>
      <c r="B26" s="219">
        <v>822.79</v>
      </c>
      <c r="C26" s="236">
        <v>627.70000000000005</v>
      </c>
      <c r="D26" s="14">
        <f t="shared" si="0"/>
        <v>0.76289211098822307</v>
      </c>
      <c r="E26" s="13">
        <v>192.83</v>
      </c>
      <c r="F26" s="8">
        <f t="shared" si="3"/>
        <v>147.10848576185907</v>
      </c>
      <c r="G26" s="7">
        <f t="shared" si="4"/>
        <v>8.9156658037490342</v>
      </c>
      <c r="H26" s="8">
        <f t="shared" si="5"/>
        <v>45.721514238140941</v>
      </c>
      <c r="I26" s="7">
        <f t="shared" si="1"/>
        <v>2.1265820575879508</v>
      </c>
      <c r="J26" s="8">
        <f t="shared" si="6"/>
        <v>11.042247861336985</v>
      </c>
      <c r="K26" s="12">
        <f t="shared" si="2"/>
        <v>706527.22691187798</v>
      </c>
    </row>
    <row r="27" spans="1:11" x14ac:dyDescent="0.25">
      <c r="A27" s="41" t="s">
        <v>16</v>
      </c>
      <c r="B27" s="219">
        <v>2117.3200000000002</v>
      </c>
      <c r="C27" s="236">
        <v>1622.36</v>
      </c>
      <c r="D27" s="14">
        <f t="shared" si="0"/>
        <v>0.76623278484121427</v>
      </c>
      <c r="E27" s="13">
        <v>500.52</v>
      </c>
      <c r="F27" s="8">
        <f t="shared" si="3"/>
        <v>383.51483346872453</v>
      </c>
      <c r="G27" s="7">
        <f t="shared" si="4"/>
        <v>23.24332324052876</v>
      </c>
      <c r="H27" s="8">
        <f t="shared" si="5"/>
        <v>117.00516653127545</v>
      </c>
      <c r="I27" s="7">
        <f t="shared" si="1"/>
        <v>5.4421007688965322</v>
      </c>
      <c r="J27" s="8">
        <f t="shared" si="6"/>
        <v>28.68542400942529</v>
      </c>
      <c r="K27" s="12">
        <f t="shared" si="2"/>
        <v>1835408.2730865942</v>
      </c>
    </row>
    <row r="28" spans="1:11" x14ac:dyDescent="0.25">
      <c r="A28" s="41" t="s">
        <v>17</v>
      </c>
      <c r="B28" s="219">
        <v>21287.25</v>
      </c>
      <c r="C28" s="236">
        <v>12285.96</v>
      </c>
      <c r="D28" s="14">
        <f t="shared" si="0"/>
        <v>0.57715111158087584</v>
      </c>
      <c r="E28" s="13">
        <v>4968.2299999999996</v>
      </c>
      <c r="F28" s="8">
        <f t="shared" si="3"/>
        <v>2867.4194670894544</v>
      </c>
      <c r="G28" s="7">
        <f t="shared" si="4"/>
        <v>173.78299800542149</v>
      </c>
      <c r="H28" s="8">
        <f t="shared" si="5"/>
        <v>2100.8105329105451</v>
      </c>
      <c r="I28" s="7">
        <f t="shared" si="1"/>
        <v>97.712117809792801</v>
      </c>
      <c r="J28" s="8">
        <f t="shared" si="6"/>
        <v>271.49511581521426</v>
      </c>
      <c r="K28" s="12">
        <f t="shared" si="2"/>
        <v>17371344.467703085</v>
      </c>
    </row>
    <row r="29" spans="1:11" x14ac:dyDescent="0.25">
      <c r="A29" s="41" t="s">
        <v>18</v>
      </c>
      <c r="B29" s="219">
        <v>34520.18</v>
      </c>
      <c r="C29" s="236">
        <v>19753.580000000002</v>
      </c>
      <c r="D29" s="14">
        <f t="shared" si="0"/>
        <v>0.57223282149745458</v>
      </c>
      <c r="E29" s="13">
        <v>8047.53</v>
      </c>
      <c r="F29" s="8">
        <f t="shared" si="3"/>
        <v>4605.0607979854103</v>
      </c>
      <c r="G29" s="7">
        <f t="shared" si="4"/>
        <v>279.09459381729761</v>
      </c>
      <c r="H29" s="8">
        <f t="shared" si="5"/>
        <v>3442.4692020145894</v>
      </c>
      <c r="I29" s="7">
        <f t="shared" si="1"/>
        <v>160.11484660532975</v>
      </c>
      <c r="J29" s="8">
        <f t="shared" si="6"/>
        <v>439.20944042262738</v>
      </c>
      <c r="K29" s="12">
        <f t="shared" si="2"/>
        <v>28102378.417155374</v>
      </c>
    </row>
    <row r="30" spans="1:11" x14ac:dyDescent="0.25">
      <c r="A30" s="41" t="s">
        <v>19</v>
      </c>
      <c r="B30" s="219">
        <v>1587.18</v>
      </c>
      <c r="C30" s="236">
        <v>1248.23</v>
      </c>
      <c r="D30" s="14">
        <f t="shared" si="0"/>
        <v>0.78644514169785407</v>
      </c>
      <c r="E30" s="13">
        <v>388.9</v>
      </c>
      <c r="F30" s="8">
        <f t="shared" si="3"/>
        <v>305.84851560629545</v>
      </c>
      <c r="G30" s="7">
        <f t="shared" si="4"/>
        <v>18.536273673108816</v>
      </c>
      <c r="H30" s="8">
        <f t="shared" si="5"/>
        <v>83.051484393704527</v>
      </c>
      <c r="I30" s="7">
        <f t="shared" si="1"/>
        <v>3.8628597392420709</v>
      </c>
      <c r="J30" s="8">
        <f t="shared" si="6"/>
        <v>22.399133412350889</v>
      </c>
      <c r="K30" s="12">
        <f t="shared" si="2"/>
        <v>1433186.2328927394</v>
      </c>
    </row>
    <row r="31" spans="1:11" x14ac:dyDescent="0.25">
      <c r="A31" s="41" t="s">
        <v>20</v>
      </c>
      <c r="B31" s="219">
        <v>46485.36</v>
      </c>
      <c r="C31" s="236">
        <v>24154.240000000002</v>
      </c>
      <c r="D31" s="14">
        <f t="shared" si="0"/>
        <v>0.51960961472601264</v>
      </c>
      <c r="E31" s="13">
        <v>11532.3</v>
      </c>
      <c r="F31" s="8">
        <f t="shared" si="3"/>
        <v>5992.293959904795</v>
      </c>
      <c r="G31" s="7">
        <f t="shared" si="4"/>
        <v>363.16933090332088</v>
      </c>
      <c r="H31" s="8">
        <f t="shared" si="5"/>
        <v>5540.0060400952043</v>
      </c>
      <c r="I31" s="7">
        <f t="shared" si="1"/>
        <v>257.6746995393118</v>
      </c>
      <c r="J31" s="8">
        <f t="shared" si="6"/>
        <v>620.84403044263263</v>
      </c>
      <c r="K31" s="12">
        <f t="shared" si="2"/>
        <v>39724086.678879917</v>
      </c>
    </row>
    <row r="32" spans="1:11" x14ac:dyDescent="0.25">
      <c r="A32" s="41" t="s">
        <v>21</v>
      </c>
      <c r="B32" s="219">
        <v>8259.2199999999993</v>
      </c>
      <c r="C32" s="236">
        <v>6117.46</v>
      </c>
      <c r="D32" s="14">
        <f t="shared" si="0"/>
        <v>0.74068253418603702</v>
      </c>
      <c r="E32" s="13">
        <v>1979.13</v>
      </c>
      <c r="F32" s="8">
        <f t="shared" si="3"/>
        <v>1465.9070238836116</v>
      </c>
      <c r="G32" s="7">
        <f t="shared" si="4"/>
        <v>88.842849932340101</v>
      </c>
      <c r="H32" s="8">
        <f t="shared" si="5"/>
        <v>513.22297611638851</v>
      </c>
      <c r="I32" s="7">
        <f t="shared" si="1"/>
        <v>23.870836098436676</v>
      </c>
      <c r="J32" s="8">
        <f t="shared" si="6"/>
        <v>112.71368603077678</v>
      </c>
      <c r="K32" s="12">
        <f t="shared" si="2"/>
        <v>7211872.8927624915</v>
      </c>
    </row>
    <row r="33" spans="1:11" x14ac:dyDescent="0.25">
      <c r="A33" s="41" t="s">
        <v>22</v>
      </c>
      <c r="B33" s="219">
        <v>4970.04</v>
      </c>
      <c r="C33" s="236">
        <v>3916.87</v>
      </c>
      <c r="D33" s="14">
        <f t="shared" si="0"/>
        <v>0.78809627286701911</v>
      </c>
      <c r="E33" s="13">
        <v>1170.6600000000001</v>
      </c>
      <c r="F33" s="8">
        <f t="shared" si="3"/>
        <v>922.59278279450461</v>
      </c>
      <c r="G33" s="7">
        <f t="shared" si="4"/>
        <v>55.914714108757856</v>
      </c>
      <c r="H33" s="8">
        <f t="shared" si="5"/>
        <v>248.06721720549547</v>
      </c>
      <c r="I33" s="7">
        <f t="shared" si="1"/>
        <v>11.538010102581184</v>
      </c>
      <c r="J33" s="8">
        <f t="shared" si="6"/>
        <v>67.452724211339046</v>
      </c>
      <c r="K33" s="12">
        <f t="shared" si="2"/>
        <v>4315895.3487681244</v>
      </c>
    </row>
    <row r="34" spans="1:11" x14ac:dyDescent="0.25">
      <c r="A34" s="41" t="s">
        <v>23</v>
      </c>
      <c r="B34" s="219">
        <v>6691.02</v>
      </c>
      <c r="C34" s="236">
        <v>5025.46</v>
      </c>
      <c r="D34" s="14">
        <f t="shared" si="0"/>
        <v>0.75107532184928449</v>
      </c>
      <c r="E34" s="13">
        <v>1543.45</v>
      </c>
      <c r="F34" s="8">
        <f t="shared" si="3"/>
        <v>1159.2472055082783</v>
      </c>
      <c r="G34" s="7">
        <f t="shared" si="4"/>
        <v>70.257406394441105</v>
      </c>
      <c r="H34" s="8">
        <f t="shared" si="5"/>
        <v>384.20279449172176</v>
      </c>
      <c r="I34" s="7">
        <f t="shared" si="1"/>
        <v>17.869897418219615</v>
      </c>
      <c r="J34" s="8">
        <f t="shared" si="6"/>
        <v>88.127303812660728</v>
      </c>
      <c r="K34" s="12">
        <f t="shared" si="2"/>
        <v>5638737.724407577</v>
      </c>
    </row>
    <row r="35" spans="1:11" x14ac:dyDescent="0.25">
      <c r="A35" s="41" t="s">
        <v>24</v>
      </c>
      <c r="B35" s="219">
        <v>710.4</v>
      </c>
      <c r="C35" s="236">
        <v>656.97</v>
      </c>
      <c r="D35" s="14">
        <f t="shared" si="0"/>
        <v>0.92478885135135147</v>
      </c>
      <c r="E35" s="13">
        <v>152.38</v>
      </c>
      <c r="F35" s="8">
        <f t="shared" si="3"/>
        <v>140.91932516891893</v>
      </c>
      <c r="G35" s="7">
        <f t="shared" si="4"/>
        <v>8.5405651617526619</v>
      </c>
      <c r="H35" s="8">
        <f t="shared" si="5"/>
        <v>11.460674831081064</v>
      </c>
      <c r="I35" s="7">
        <f t="shared" si="1"/>
        <v>0.53305464330609598</v>
      </c>
      <c r="J35" s="8">
        <f t="shared" si="6"/>
        <v>9.0736198050587582</v>
      </c>
      <c r="K35" s="12">
        <f t="shared" si="2"/>
        <v>580566.5222719108</v>
      </c>
    </row>
    <row r="36" spans="1:11" x14ac:dyDescent="0.25">
      <c r="A36" s="41" t="s">
        <v>25</v>
      </c>
      <c r="B36" s="219">
        <v>2753.54</v>
      </c>
      <c r="C36" s="236">
        <v>2395.11</v>
      </c>
      <c r="D36" s="14">
        <f t="shared" si="0"/>
        <v>0.8698293832666314</v>
      </c>
      <c r="E36" s="13">
        <v>582.99</v>
      </c>
      <c r="F36" s="8">
        <f t="shared" si="3"/>
        <v>507.10183215061346</v>
      </c>
      <c r="G36" s="7">
        <f t="shared" si="4"/>
        <v>30.733444372764453</v>
      </c>
      <c r="H36" s="8">
        <f t="shared" si="5"/>
        <v>75.888167849386548</v>
      </c>
      <c r="I36" s="7">
        <f t="shared" si="1"/>
        <v>3.5296822255528628</v>
      </c>
      <c r="J36" s="8">
        <f t="shared" si="6"/>
        <v>34.263126598317314</v>
      </c>
      <c r="K36" s="12">
        <f t="shared" si="2"/>
        <v>2192292.0156139908</v>
      </c>
    </row>
    <row r="37" spans="1:11" x14ac:dyDescent="0.25">
      <c r="A37" s="41" t="s">
        <v>26</v>
      </c>
      <c r="B37" s="219">
        <v>1253.3399999999999</v>
      </c>
      <c r="C37" s="236">
        <v>789.47</v>
      </c>
      <c r="D37" s="14">
        <f t="shared" si="0"/>
        <v>0.62989292610145697</v>
      </c>
      <c r="E37" s="13">
        <v>263.14999999999998</v>
      </c>
      <c r="F37" s="8">
        <f t="shared" si="3"/>
        <v>165.7563235035984</v>
      </c>
      <c r="G37" s="7">
        <f t="shared" si="4"/>
        <v>10.045837788096872</v>
      </c>
      <c r="H37" s="8">
        <f t="shared" si="5"/>
        <v>97.393676496401582</v>
      </c>
      <c r="I37" s="7">
        <f t="shared" si="1"/>
        <v>4.5299384416930968</v>
      </c>
      <c r="J37" s="8">
        <f t="shared" si="6"/>
        <v>14.57577622978997</v>
      </c>
      <c r="K37" s="12">
        <f t="shared" si="2"/>
        <v>932616.51875967579</v>
      </c>
    </row>
    <row r="38" spans="1:11" x14ac:dyDescent="0.25">
      <c r="A38" s="41" t="s">
        <v>27</v>
      </c>
      <c r="B38" s="219">
        <v>5263.6</v>
      </c>
      <c r="C38" s="236">
        <v>4431.29</v>
      </c>
      <c r="D38" s="14">
        <f t="shared" si="0"/>
        <v>0.84187438255186553</v>
      </c>
      <c r="E38" s="13">
        <v>1222.3699999999999</v>
      </c>
      <c r="F38" s="8">
        <f t="shared" si="3"/>
        <v>1029.0819889999239</v>
      </c>
      <c r="G38" s="7">
        <f t="shared" si="4"/>
        <v>62.368605393934779</v>
      </c>
      <c r="H38" s="8">
        <f t="shared" si="5"/>
        <v>193.28801100007604</v>
      </c>
      <c r="I38" s="7">
        <f t="shared" si="1"/>
        <v>8.9901400465151653</v>
      </c>
      <c r="J38" s="8">
        <f t="shared" si="6"/>
        <v>71.358745440449951</v>
      </c>
      <c r="K38" s="12">
        <f t="shared" si="2"/>
        <v>4565818.2251532329</v>
      </c>
    </row>
    <row r="39" spans="1:11" x14ac:dyDescent="0.25">
      <c r="A39" s="41" t="s">
        <v>28</v>
      </c>
      <c r="B39" s="219">
        <v>9606.7099999999991</v>
      </c>
      <c r="C39" s="236">
        <v>7456.46</v>
      </c>
      <c r="D39" s="14">
        <f t="shared" si="0"/>
        <v>0.77617207139593059</v>
      </c>
      <c r="E39" s="13">
        <v>2158.6999999999998</v>
      </c>
      <c r="F39" s="8">
        <f t="shared" si="3"/>
        <v>1675.5226505223952</v>
      </c>
      <c r="G39" s="7">
        <f t="shared" si="4"/>
        <v>101.54682730438759</v>
      </c>
      <c r="H39" s="8">
        <f t="shared" si="5"/>
        <v>483.17734947760459</v>
      </c>
      <c r="I39" s="7">
        <f t="shared" si="1"/>
        <v>22.473365091981609</v>
      </c>
      <c r="J39" s="8">
        <f t="shared" si="6"/>
        <v>124.0201923963692</v>
      </c>
      <c r="K39" s="12">
        <f t="shared" si="2"/>
        <v>7935308.436761979</v>
      </c>
    </row>
    <row r="40" spans="1:11" x14ac:dyDescent="0.25">
      <c r="A40" s="41" t="s">
        <v>29</v>
      </c>
      <c r="B40" s="219">
        <v>1528.03</v>
      </c>
      <c r="C40" s="236">
        <v>1086.46</v>
      </c>
      <c r="D40" s="14">
        <f t="shared" si="0"/>
        <v>0.711020071595453</v>
      </c>
      <c r="E40" s="13">
        <v>347.14</v>
      </c>
      <c r="F40" s="8">
        <f t="shared" si="3"/>
        <v>246.82350765364555</v>
      </c>
      <c r="G40" s="7">
        <f t="shared" si="4"/>
        <v>14.959000463857306</v>
      </c>
      <c r="H40" s="8">
        <f t="shared" si="5"/>
        <v>100.31649234635444</v>
      </c>
      <c r="I40" s="7">
        <f t="shared" si="1"/>
        <v>4.6658833649467182</v>
      </c>
      <c r="J40" s="8">
        <f t="shared" si="6"/>
        <v>19.624883828804023</v>
      </c>
      <c r="K40" s="12">
        <f t="shared" si="2"/>
        <v>1255678.6375517782</v>
      </c>
    </row>
    <row r="41" spans="1:11" x14ac:dyDescent="0.25">
      <c r="A41" s="41" t="s">
        <v>30</v>
      </c>
      <c r="B41" s="219">
        <v>3982.19</v>
      </c>
      <c r="C41" s="236">
        <v>3716.77</v>
      </c>
      <c r="D41" s="14">
        <f t="shared" si="0"/>
        <v>0.93334823300746572</v>
      </c>
      <c r="E41" s="13">
        <v>884.08999999999992</v>
      </c>
      <c r="F41" s="8">
        <f t="shared" si="3"/>
        <v>825.16383931957034</v>
      </c>
      <c r="G41" s="7">
        <f t="shared" si="4"/>
        <v>50.009929655731533</v>
      </c>
      <c r="H41" s="8">
        <f t="shared" si="5"/>
        <v>58.926160680429575</v>
      </c>
      <c r="I41" s="7">
        <f t="shared" si="1"/>
        <v>2.740751659554864</v>
      </c>
      <c r="J41" s="8">
        <f t="shared" si="6"/>
        <v>52.7506813152864</v>
      </c>
      <c r="K41" s="12">
        <f t="shared" si="2"/>
        <v>3375199.7831797376</v>
      </c>
    </row>
    <row r="42" spans="1:11" x14ac:dyDescent="0.25">
      <c r="A42" s="41" t="s">
        <v>31</v>
      </c>
      <c r="B42" s="219">
        <v>25440.37</v>
      </c>
      <c r="C42" s="236">
        <v>13001.24</v>
      </c>
      <c r="D42" s="14">
        <f t="shared" si="0"/>
        <v>0.51104759875740802</v>
      </c>
      <c r="E42" s="13">
        <v>5687.71</v>
      </c>
      <c r="F42" s="8">
        <f t="shared" si="3"/>
        <v>2906.6905379284972</v>
      </c>
      <c r="G42" s="7">
        <f t="shared" si="4"/>
        <v>176.1630629047574</v>
      </c>
      <c r="H42" s="8">
        <f t="shared" si="5"/>
        <v>2781.0194620715029</v>
      </c>
      <c r="I42" s="7">
        <f t="shared" si="1"/>
        <v>129.34974242193036</v>
      </c>
      <c r="J42" s="8">
        <f t="shared" si="6"/>
        <v>305.51280532668773</v>
      </c>
      <c r="K42" s="12">
        <f t="shared" si="2"/>
        <v>19547932.435868885</v>
      </c>
    </row>
    <row r="43" spans="1:11" x14ac:dyDescent="0.25">
      <c r="A43" s="41" t="s">
        <v>32</v>
      </c>
      <c r="B43" s="219">
        <v>2145.29</v>
      </c>
      <c r="C43" s="236">
        <v>1651.18</v>
      </c>
      <c r="D43" s="14">
        <f t="shared" si="0"/>
        <v>0.76967682690918249</v>
      </c>
      <c r="E43" s="13">
        <v>476</v>
      </c>
      <c r="F43" s="8">
        <f t="shared" si="3"/>
        <v>366.36616960877086</v>
      </c>
      <c r="G43" s="7">
        <f t="shared" si="4"/>
        <v>22.204010279319448</v>
      </c>
      <c r="H43" s="8">
        <f t="shared" si="5"/>
        <v>109.63383039122914</v>
      </c>
      <c r="I43" s="7">
        <f t="shared" si="1"/>
        <v>5.0992479251734482</v>
      </c>
      <c r="J43" s="8">
        <f t="shared" si="6"/>
        <v>27.303258204492895</v>
      </c>
      <c r="K43" s="12">
        <f t="shared" si="2"/>
        <v>1746971.7712480028</v>
      </c>
    </row>
    <row r="44" spans="1:11" x14ac:dyDescent="0.25">
      <c r="A44" s="41" t="s">
        <v>33</v>
      </c>
      <c r="B44" s="219">
        <v>3224.83</v>
      </c>
      <c r="C44" s="236">
        <v>2075.11</v>
      </c>
      <c r="D44" s="14">
        <f t="shared" si="0"/>
        <v>0.64347888105729611</v>
      </c>
      <c r="E44" s="13">
        <v>769.27</v>
      </c>
      <c r="F44" s="8">
        <f t="shared" si="3"/>
        <v>495.00899883094615</v>
      </c>
      <c r="G44" s="7">
        <f t="shared" si="4"/>
        <v>30.000545383693705</v>
      </c>
      <c r="H44" s="8">
        <f t="shared" si="5"/>
        <v>274.26100116905383</v>
      </c>
      <c r="I44" s="7">
        <f t="shared" si="1"/>
        <v>12.756325635769945</v>
      </c>
      <c r="J44" s="8">
        <f t="shared" si="6"/>
        <v>42.756871019463652</v>
      </c>
      <c r="K44" s="12">
        <f t="shared" si="2"/>
        <v>2735755.789234098</v>
      </c>
    </row>
    <row r="45" spans="1:11" x14ac:dyDescent="0.25">
      <c r="A45" s="41" t="s">
        <v>34</v>
      </c>
      <c r="B45" s="219">
        <v>2373.3200000000002</v>
      </c>
      <c r="C45" s="236">
        <v>2070.19</v>
      </c>
      <c r="D45" s="14">
        <f t="shared" si="0"/>
        <v>0.87227596784251593</v>
      </c>
      <c r="E45" s="13">
        <v>537.38</v>
      </c>
      <c r="F45" s="8">
        <f t="shared" si="3"/>
        <v>468.74365959921118</v>
      </c>
      <c r="G45" s="7">
        <f t="shared" si="4"/>
        <v>28.408706642376437</v>
      </c>
      <c r="H45" s="8">
        <f t="shared" si="5"/>
        <v>68.636340400788811</v>
      </c>
      <c r="I45" s="7">
        <f t="shared" si="1"/>
        <v>3.192387925618084</v>
      </c>
      <c r="J45" s="8">
        <f t="shared" si="6"/>
        <v>31.601094567994522</v>
      </c>
      <c r="K45" s="12">
        <f t="shared" si="2"/>
        <v>2021964.5486025019</v>
      </c>
    </row>
    <row r="46" spans="1:11" x14ac:dyDescent="0.25">
      <c r="A46" s="41" t="s">
        <v>35</v>
      </c>
      <c r="B46" s="219">
        <v>15667.43</v>
      </c>
      <c r="C46" s="236">
        <v>10603.64</v>
      </c>
      <c r="D46" s="14">
        <f t="shared" si="0"/>
        <v>0.67679510934467235</v>
      </c>
      <c r="E46" s="13">
        <v>3621.58</v>
      </c>
      <c r="F46" s="8">
        <f t="shared" si="3"/>
        <v>2451.0676321004785</v>
      </c>
      <c r="G46" s="7">
        <f t="shared" si="4"/>
        <v>148.54955346063505</v>
      </c>
      <c r="H46" s="8">
        <f t="shared" si="5"/>
        <v>1170.5123678995215</v>
      </c>
      <c r="I46" s="7">
        <f t="shared" si="1"/>
        <v>54.44243571625681</v>
      </c>
      <c r="J46" s="8">
        <f t="shared" si="6"/>
        <v>202.99198917689188</v>
      </c>
      <c r="K46" s="12">
        <f t="shared" si="2"/>
        <v>12988240.166265409</v>
      </c>
    </row>
    <row r="47" spans="1:11" x14ac:dyDescent="0.25">
      <c r="A47" s="41" t="s">
        <v>36</v>
      </c>
      <c r="B47" s="219">
        <v>1091.3900000000001</v>
      </c>
      <c r="C47" s="236">
        <v>772.62</v>
      </c>
      <c r="D47" s="14">
        <f t="shared" ref="D47:D78" si="7">C47/B47</f>
        <v>0.70792292397767975</v>
      </c>
      <c r="E47" s="13">
        <v>214.29</v>
      </c>
      <c r="F47" s="8">
        <f t="shared" ref="F47:F78" si="8">E47*D47</f>
        <v>151.70080337917699</v>
      </c>
      <c r="G47" s="7">
        <f t="shared" ref="G47:G78" si="9">(F47/$F$4)</f>
        <v>9.1939880835864844</v>
      </c>
      <c r="H47" s="8">
        <f t="shared" ref="H47:H78" si="10">E47-F47</f>
        <v>62.589196620823003</v>
      </c>
      <c r="I47" s="7">
        <f t="shared" ref="I47:I78" si="11">(H47/$F$5)</f>
        <v>2.9111254242243256</v>
      </c>
      <c r="J47" s="8">
        <f t="shared" ref="J47:J78" si="12">G47+I47</f>
        <v>12.10511350781081</v>
      </c>
      <c r="K47" s="12">
        <f t="shared" ref="K47:K78" si="13">J47*$B$7</f>
        <v>774533.62626217538</v>
      </c>
    </row>
    <row r="48" spans="1:11" x14ac:dyDescent="0.25">
      <c r="A48" s="41" t="s">
        <v>37</v>
      </c>
      <c r="B48" s="219">
        <v>3269.06</v>
      </c>
      <c r="C48" s="236">
        <v>2915.7</v>
      </c>
      <c r="D48" s="14">
        <f t="shared" si="7"/>
        <v>0.89190776553504669</v>
      </c>
      <c r="E48" s="13">
        <v>762.8599999999999</v>
      </c>
      <c r="F48" s="8">
        <f t="shared" si="8"/>
        <v>680.40075801606565</v>
      </c>
      <c r="G48" s="7">
        <f t="shared" si="9"/>
        <v>41.236409576731255</v>
      </c>
      <c r="H48" s="8">
        <f t="shared" si="10"/>
        <v>82.459241983934248</v>
      </c>
      <c r="I48" s="7">
        <f t="shared" si="11"/>
        <v>3.8353135806481045</v>
      </c>
      <c r="J48" s="8">
        <f t="shared" si="12"/>
        <v>45.07172315737936</v>
      </c>
      <c r="K48" s="12">
        <f t="shared" si="13"/>
        <v>2883869.296759964</v>
      </c>
    </row>
    <row r="49" spans="1:11" x14ac:dyDescent="0.25">
      <c r="A49" s="41" t="s">
        <v>38</v>
      </c>
      <c r="B49" s="219">
        <v>656.05</v>
      </c>
      <c r="C49" s="236">
        <v>619.41</v>
      </c>
      <c r="D49" s="14">
        <f t="shared" si="7"/>
        <v>0.94415059827757031</v>
      </c>
      <c r="E49" s="13">
        <v>155.14999999999998</v>
      </c>
      <c r="F49" s="8">
        <f t="shared" si="8"/>
        <v>146.48496532276502</v>
      </c>
      <c r="G49" s="7">
        <f t="shared" si="9"/>
        <v>8.8778766862281824</v>
      </c>
      <c r="H49" s="8">
        <f t="shared" si="10"/>
        <v>8.6650346772349565</v>
      </c>
      <c r="I49" s="7">
        <f t="shared" si="11"/>
        <v>0.4030248687086026</v>
      </c>
      <c r="J49" s="8">
        <f t="shared" si="12"/>
        <v>9.2809015549367846</v>
      </c>
      <c r="K49" s="12">
        <f t="shared" si="13"/>
        <v>593829.23850232083</v>
      </c>
    </row>
    <row r="50" spans="1:11" x14ac:dyDescent="0.25">
      <c r="A50" s="41" t="s">
        <v>39</v>
      </c>
      <c r="B50" s="219">
        <v>1181.8699999999999</v>
      </c>
      <c r="C50" s="236">
        <v>827.32</v>
      </c>
      <c r="D50" s="14">
        <f t="shared" si="7"/>
        <v>0.70000930728421917</v>
      </c>
      <c r="E50" s="13">
        <v>255.54000000000002</v>
      </c>
      <c r="F50" s="8">
        <f t="shared" si="8"/>
        <v>178.88037838340938</v>
      </c>
      <c r="G50" s="7">
        <f t="shared" si="9"/>
        <v>10.841235053539963</v>
      </c>
      <c r="H50" s="8">
        <f t="shared" si="10"/>
        <v>76.659621616590641</v>
      </c>
      <c r="I50" s="7">
        <f t="shared" si="11"/>
        <v>3.5655637961204949</v>
      </c>
      <c r="J50" s="8">
        <f t="shared" si="12"/>
        <v>14.406798849660458</v>
      </c>
      <c r="K50" s="12">
        <f t="shared" si="13"/>
        <v>921804.66946115054</v>
      </c>
    </row>
    <row r="51" spans="1:11" x14ac:dyDescent="0.25">
      <c r="A51" s="41" t="s">
        <v>40</v>
      </c>
      <c r="B51" s="219">
        <v>8929.7900000000009</v>
      </c>
      <c r="C51" s="236">
        <v>6097.28</v>
      </c>
      <c r="D51" s="14">
        <f t="shared" si="7"/>
        <v>0.68280217115968</v>
      </c>
      <c r="E51" s="13">
        <v>1972.1399999999999</v>
      </c>
      <c r="F51" s="8">
        <f t="shared" si="8"/>
        <v>1346.5814738308513</v>
      </c>
      <c r="G51" s="7">
        <f t="shared" si="9"/>
        <v>81.610998413990984</v>
      </c>
      <c r="H51" s="8">
        <f t="shared" si="10"/>
        <v>625.55852616914854</v>
      </c>
      <c r="I51" s="7">
        <f t="shared" si="11"/>
        <v>29.09574540321621</v>
      </c>
      <c r="J51" s="8">
        <f t="shared" si="12"/>
        <v>110.7067438172072</v>
      </c>
      <c r="K51" s="12">
        <f t="shared" si="13"/>
        <v>7083460.6949444627</v>
      </c>
    </row>
    <row r="52" spans="1:11" x14ac:dyDescent="0.25">
      <c r="A52" s="41" t="s">
        <v>41</v>
      </c>
      <c r="B52" s="219">
        <v>74161.66</v>
      </c>
      <c r="C52" s="236">
        <v>40174.94</v>
      </c>
      <c r="D52" s="14">
        <f t="shared" si="7"/>
        <v>0.54172115349090078</v>
      </c>
      <c r="E52" s="13">
        <v>17660.11</v>
      </c>
      <c r="F52" s="8">
        <f t="shared" si="8"/>
        <v>9566.8551599761922</v>
      </c>
      <c r="G52" s="7">
        <f t="shared" si="9"/>
        <v>579.80940363492073</v>
      </c>
      <c r="H52" s="8">
        <f t="shared" si="10"/>
        <v>8093.2548400238084</v>
      </c>
      <c r="I52" s="7">
        <f t="shared" si="11"/>
        <v>376.43045767552599</v>
      </c>
      <c r="J52" s="8">
        <f t="shared" si="12"/>
        <v>956.23986131044671</v>
      </c>
      <c r="K52" s="12">
        <f t="shared" si="13"/>
        <v>61184054.72855112</v>
      </c>
    </row>
    <row r="53" spans="1:11" x14ac:dyDescent="0.25">
      <c r="A53" s="41" t="s">
        <v>42</v>
      </c>
      <c r="B53" s="219">
        <v>8515.0300000000007</v>
      </c>
      <c r="C53" s="236">
        <v>6247.89</v>
      </c>
      <c r="D53" s="14">
        <f t="shared" si="7"/>
        <v>0.73374844245997961</v>
      </c>
      <c r="E53" s="13">
        <v>2035.5100000000002</v>
      </c>
      <c r="F53" s="8">
        <f t="shared" si="8"/>
        <v>1493.5522921117133</v>
      </c>
      <c r="G53" s="7">
        <f t="shared" si="9"/>
        <v>90.518320734043229</v>
      </c>
      <c r="H53" s="8">
        <f t="shared" si="10"/>
        <v>541.9577078882869</v>
      </c>
      <c r="I53" s="7">
        <f t="shared" si="11"/>
        <v>25.207335250617994</v>
      </c>
      <c r="J53" s="8">
        <f t="shared" si="12"/>
        <v>115.72565598466122</v>
      </c>
      <c r="K53" s="12">
        <f t="shared" si="13"/>
        <v>7404590.7891349243</v>
      </c>
    </row>
    <row r="54" spans="1:11" x14ac:dyDescent="0.25">
      <c r="A54" s="41" t="s">
        <v>43</v>
      </c>
      <c r="B54" s="219">
        <v>898.58</v>
      </c>
      <c r="C54" s="236">
        <v>677.73</v>
      </c>
      <c r="D54" s="14">
        <f t="shared" si="7"/>
        <v>0.75422333014311471</v>
      </c>
      <c r="E54" s="13">
        <v>208.67999999999998</v>
      </c>
      <c r="F54" s="8">
        <f t="shared" si="8"/>
        <v>157.39132453426515</v>
      </c>
      <c r="G54" s="7">
        <f t="shared" si="9"/>
        <v>9.538868153591828</v>
      </c>
      <c r="H54" s="8">
        <f t="shared" si="10"/>
        <v>51.288675465734826</v>
      </c>
      <c r="I54" s="7">
        <f t="shared" si="11"/>
        <v>2.3855197891039452</v>
      </c>
      <c r="J54" s="8">
        <f t="shared" si="12"/>
        <v>11.924387942695773</v>
      </c>
      <c r="K54" s="12">
        <f t="shared" si="13"/>
        <v>762970.0810532429</v>
      </c>
    </row>
    <row r="55" spans="1:11" x14ac:dyDescent="0.25">
      <c r="A55" s="41" t="s">
        <v>44</v>
      </c>
      <c r="B55" s="219">
        <v>1516.32</v>
      </c>
      <c r="C55" s="236">
        <v>927.29</v>
      </c>
      <c r="D55" s="14">
        <f t="shared" si="7"/>
        <v>0.61153978052126201</v>
      </c>
      <c r="E55" s="13">
        <v>341.99</v>
      </c>
      <c r="F55" s="8">
        <f t="shared" si="8"/>
        <v>209.1404895404664</v>
      </c>
      <c r="G55" s="7">
        <f t="shared" si="9"/>
        <v>12.675181184270691</v>
      </c>
      <c r="H55" s="8">
        <f t="shared" si="10"/>
        <v>132.8495104595336</v>
      </c>
      <c r="I55" s="7">
        <f t="shared" si="11"/>
        <v>6.1790469981178422</v>
      </c>
      <c r="J55" s="8">
        <f t="shared" si="12"/>
        <v>18.854228182388532</v>
      </c>
      <c r="K55" s="12">
        <f t="shared" si="13"/>
        <v>1206369.0038971691</v>
      </c>
    </row>
    <row r="56" spans="1:11" x14ac:dyDescent="0.25">
      <c r="A56" s="41" t="s">
        <v>45</v>
      </c>
      <c r="B56" s="219">
        <v>2087.65</v>
      </c>
      <c r="C56" s="236">
        <v>1641.59</v>
      </c>
      <c r="D56" s="14">
        <f t="shared" si="7"/>
        <v>0.78633391612578729</v>
      </c>
      <c r="E56" s="13">
        <v>480.46999999999997</v>
      </c>
      <c r="F56" s="8">
        <f t="shared" si="8"/>
        <v>377.80985668095701</v>
      </c>
      <c r="G56" s="7">
        <f t="shared" si="9"/>
        <v>22.897567071573153</v>
      </c>
      <c r="H56" s="8">
        <f t="shared" si="10"/>
        <v>102.66014331904296</v>
      </c>
      <c r="I56" s="7">
        <f t="shared" si="11"/>
        <v>4.7748903869322303</v>
      </c>
      <c r="J56" s="8">
        <f t="shared" si="12"/>
        <v>27.672457458505384</v>
      </c>
      <c r="K56" s="12">
        <f t="shared" si="13"/>
        <v>1770594.6176458553</v>
      </c>
    </row>
    <row r="57" spans="1:11" x14ac:dyDescent="0.25">
      <c r="A57" s="41" t="s">
        <v>46</v>
      </c>
      <c r="B57" s="219">
        <v>662.1</v>
      </c>
      <c r="C57" s="236">
        <v>607.41</v>
      </c>
      <c r="D57" s="14">
        <f t="shared" si="7"/>
        <v>0.91739918441323054</v>
      </c>
      <c r="E57" s="13">
        <v>139.13</v>
      </c>
      <c r="F57" s="8">
        <f t="shared" si="8"/>
        <v>127.63774852741277</v>
      </c>
      <c r="G57" s="7">
        <f t="shared" si="9"/>
        <v>7.7356211228735008</v>
      </c>
      <c r="H57" s="8">
        <f t="shared" si="10"/>
        <v>11.492251472587228</v>
      </c>
      <c r="I57" s="7">
        <f t="shared" si="11"/>
        <v>0.53452332430638272</v>
      </c>
      <c r="J57" s="8">
        <f t="shared" si="12"/>
        <v>8.2701444471798844</v>
      </c>
      <c r="K57" s="12">
        <f t="shared" si="13"/>
        <v>529156.95208087773</v>
      </c>
    </row>
    <row r="58" spans="1:11" x14ac:dyDescent="0.25">
      <c r="A58" s="41" t="s">
        <v>47</v>
      </c>
      <c r="B58" s="219">
        <v>43529.94</v>
      </c>
      <c r="C58" s="236">
        <v>28552.12</v>
      </c>
      <c r="D58" s="14">
        <f t="shared" si="7"/>
        <v>0.65591912141390496</v>
      </c>
      <c r="E58" s="13">
        <v>9896.9500000000007</v>
      </c>
      <c r="F58" s="8">
        <f t="shared" si="8"/>
        <v>6491.5987486773474</v>
      </c>
      <c r="G58" s="7">
        <f t="shared" si="9"/>
        <v>393.43022719256652</v>
      </c>
      <c r="H58" s="8">
        <f t="shared" si="10"/>
        <v>3405.3512513226533</v>
      </c>
      <c r="I58" s="7">
        <f t="shared" si="11"/>
        <v>158.3884302940769</v>
      </c>
      <c r="J58" s="8">
        <f t="shared" si="12"/>
        <v>551.81865748664336</v>
      </c>
      <c r="K58" s="12">
        <f t="shared" si="13"/>
        <v>35307566.967172556</v>
      </c>
    </row>
    <row r="59" spans="1:11" x14ac:dyDescent="0.25">
      <c r="A59" s="41" t="s">
        <v>48</v>
      </c>
      <c r="B59" s="219">
        <v>2404.8000000000002</v>
      </c>
      <c r="C59" s="236">
        <v>2167.39</v>
      </c>
      <c r="D59" s="14">
        <f t="shared" si="7"/>
        <v>0.90127661343978693</v>
      </c>
      <c r="E59" s="13">
        <v>655.16999999999996</v>
      </c>
      <c r="F59" s="8">
        <f t="shared" si="8"/>
        <v>590.48939882734521</v>
      </c>
      <c r="G59" s="7">
        <f t="shared" si="9"/>
        <v>35.787236292566377</v>
      </c>
      <c r="H59" s="8">
        <f t="shared" si="10"/>
        <v>64.680601172654747</v>
      </c>
      <c r="I59" s="7">
        <f t="shared" si="11"/>
        <v>3.008400054542081</v>
      </c>
      <c r="J59" s="8">
        <f t="shared" si="12"/>
        <v>38.795636347108456</v>
      </c>
      <c r="K59" s="12">
        <f t="shared" si="13"/>
        <v>2482300.1356976782</v>
      </c>
    </row>
    <row r="60" spans="1:11" x14ac:dyDescent="0.25">
      <c r="A60" s="41" t="s">
        <v>49</v>
      </c>
      <c r="B60" s="219">
        <v>10525.82</v>
      </c>
      <c r="C60" s="236">
        <v>6404.09</v>
      </c>
      <c r="D60" s="14">
        <f t="shared" si="7"/>
        <v>0.60841720645042385</v>
      </c>
      <c r="E60" s="13">
        <v>2368.6799999999998</v>
      </c>
      <c r="F60" s="8">
        <f t="shared" si="8"/>
        <v>1441.1456685749899</v>
      </c>
      <c r="G60" s="7">
        <f t="shared" si="9"/>
        <v>87.342161731817569</v>
      </c>
      <c r="H60" s="8">
        <f t="shared" si="10"/>
        <v>927.5343314250099</v>
      </c>
      <c r="I60" s="7">
        <f t="shared" si="11"/>
        <v>43.141131694186505</v>
      </c>
      <c r="J60" s="8">
        <f t="shared" si="12"/>
        <v>130.48329342600408</v>
      </c>
      <c r="K60" s="12">
        <f t="shared" si="13"/>
        <v>8348843.5163093014</v>
      </c>
    </row>
    <row r="61" spans="1:11" x14ac:dyDescent="0.25">
      <c r="A61" s="41" t="s">
        <v>50</v>
      </c>
      <c r="B61" s="219">
        <v>13258.42</v>
      </c>
      <c r="C61" s="236">
        <v>7286.27</v>
      </c>
      <c r="D61" s="14">
        <f t="shared" si="7"/>
        <v>0.54955794129315561</v>
      </c>
      <c r="E61" s="13">
        <v>3260.2</v>
      </c>
      <c r="F61" s="8">
        <f t="shared" si="8"/>
        <v>1791.6688002039457</v>
      </c>
      <c r="G61" s="7">
        <f t="shared" si="9"/>
        <v>108.58598789114822</v>
      </c>
      <c r="H61" s="8">
        <f t="shared" si="10"/>
        <v>1468.5311997960541</v>
      </c>
      <c r="I61" s="7">
        <f t="shared" si="11"/>
        <v>68.303776734700193</v>
      </c>
      <c r="J61" s="8">
        <f t="shared" si="12"/>
        <v>176.88976462584841</v>
      </c>
      <c r="K61" s="12">
        <f t="shared" si="13"/>
        <v>11318115.336623438</v>
      </c>
    </row>
    <row r="62" spans="1:11" x14ac:dyDescent="0.25">
      <c r="A62" s="41" t="s">
        <v>51</v>
      </c>
      <c r="B62" s="219">
        <v>5388.16</v>
      </c>
      <c r="C62" s="236">
        <v>4016.61</v>
      </c>
      <c r="D62" s="14">
        <f t="shared" si="7"/>
        <v>0.74545113730846901</v>
      </c>
      <c r="E62" s="13">
        <v>1264.43</v>
      </c>
      <c r="F62" s="8">
        <f t="shared" si="8"/>
        <v>942.5707815469475</v>
      </c>
      <c r="G62" s="7">
        <f t="shared" si="9"/>
        <v>57.125501911936212</v>
      </c>
      <c r="H62" s="8">
        <f t="shared" si="10"/>
        <v>321.85921845305256</v>
      </c>
      <c r="I62" s="7">
        <f t="shared" si="11"/>
        <v>14.970196207118724</v>
      </c>
      <c r="J62" s="8">
        <f t="shared" si="12"/>
        <v>72.09569811905493</v>
      </c>
      <c r="K62" s="12">
        <f t="shared" si="13"/>
        <v>4612971.4079941232</v>
      </c>
    </row>
    <row r="63" spans="1:11" x14ac:dyDescent="0.25">
      <c r="A63" s="41" t="s">
        <v>52</v>
      </c>
      <c r="B63" s="219">
        <v>2979.52</v>
      </c>
      <c r="C63" s="236">
        <v>2390.0300000000002</v>
      </c>
      <c r="D63" s="14">
        <f t="shared" si="7"/>
        <v>0.80215269573622605</v>
      </c>
      <c r="E63" s="13">
        <v>746.06</v>
      </c>
      <c r="F63" s="8">
        <f t="shared" si="8"/>
        <v>598.45404018096872</v>
      </c>
      <c r="G63" s="7">
        <f t="shared" si="9"/>
        <v>36.269941829149616</v>
      </c>
      <c r="H63" s="8">
        <f t="shared" si="10"/>
        <v>147.60595981903123</v>
      </c>
      <c r="I63" s="7">
        <f t="shared" si="11"/>
        <v>6.8653934799549408</v>
      </c>
      <c r="J63" s="8">
        <f t="shared" si="12"/>
        <v>43.135335309104555</v>
      </c>
      <c r="K63" s="12">
        <f t="shared" si="13"/>
        <v>2759971.449704953</v>
      </c>
    </row>
    <row r="64" spans="1:11" x14ac:dyDescent="0.25">
      <c r="A64" s="41" t="s">
        <v>53</v>
      </c>
      <c r="B64" s="219">
        <v>1729.85</v>
      </c>
      <c r="C64" s="236">
        <v>1597.53</v>
      </c>
      <c r="D64" s="14">
        <f t="shared" si="7"/>
        <v>0.92350781859698816</v>
      </c>
      <c r="E64" s="13">
        <v>385.31</v>
      </c>
      <c r="F64" s="8">
        <f t="shared" si="8"/>
        <v>355.83679758360552</v>
      </c>
      <c r="G64" s="7">
        <f t="shared" si="9"/>
        <v>21.565866520218517</v>
      </c>
      <c r="H64" s="8">
        <f t="shared" si="10"/>
        <v>29.473202416394486</v>
      </c>
      <c r="I64" s="7">
        <f t="shared" si="11"/>
        <v>1.3708466240183481</v>
      </c>
      <c r="J64" s="8">
        <f t="shared" si="12"/>
        <v>22.936713144236865</v>
      </c>
      <c r="K64" s="12">
        <f t="shared" si="13"/>
        <v>1467582.7363930189</v>
      </c>
    </row>
    <row r="65" spans="1:11" x14ac:dyDescent="0.25">
      <c r="A65" s="41" t="s">
        <v>54</v>
      </c>
      <c r="B65" s="219">
        <v>25998.85</v>
      </c>
      <c r="C65" s="236">
        <v>11560.42</v>
      </c>
      <c r="D65" s="14">
        <f t="shared" si="7"/>
        <v>0.44465120572640715</v>
      </c>
      <c r="E65" s="13">
        <v>5881.79</v>
      </c>
      <c r="F65" s="8">
        <f t="shared" si="8"/>
        <v>2615.3450153295244</v>
      </c>
      <c r="G65" s="7">
        <f t="shared" si="9"/>
        <v>158.50575850481965</v>
      </c>
      <c r="H65" s="8">
        <f t="shared" si="10"/>
        <v>3266.4449846704756</v>
      </c>
      <c r="I65" s="7">
        <f t="shared" si="11"/>
        <v>151.92767370560352</v>
      </c>
      <c r="J65" s="8">
        <f t="shared" si="12"/>
        <v>310.43343221042318</v>
      </c>
      <c r="K65" s="12">
        <f t="shared" si="13"/>
        <v>19862773.844112072</v>
      </c>
    </row>
    <row r="66" spans="1:11" x14ac:dyDescent="0.25">
      <c r="A66" s="41" t="s">
        <v>55</v>
      </c>
      <c r="B66" s="219">
        <v>8632.56</v>
      </c>
      <c r="C66" s="236">
        <v>6583.08</v>
      </c>
      <c r="D66" s="14">
        <f t="shared" si="7"/>
        <v>0.76258722789068367</v>
      </c>
      <c r="E66" s="13">
        <v>2066.25</v>
      </c>
      <c r="F66" s="8">
        <f t="shared" si="8"/>
        <v>1575.6958596291252</v>
      </c>
      <c r="G66" s="7">
        <f t="shared" si="9"/>
        <v>95.496718765401525</v>
      </c>
      <c r="H66" s="8">
        <f t="shared" si="10"/>
        <v>490.55414037087485</v>
      </c>
      <c r="I66" s="7">
        <f t="shared" si="11"/>
        <v>22.81647164515697</v>
      </c>
      <c r="J66" s="8">
        <f t="shared" si="12"/>
        <v>118.31319041055849</v>
      </c>
      <c r="K66" s="12">
        <f t="shared" si="13"/>
        <v>7570151.6011566594</v>
      </c>
    </row>
    <row r="67" spans="1:11" x14ac:dyDescent="0.25">
      <c r="A67" s="41" t="s">
        <v>56</v>
      </c>
      <c r="B67" s="219">
        <v>1939.18</v>
      </c>
      <c r="C67" s="236">
        <v>1384.39</v>
      </c>
      <c r="D67" s="14">
        <f t="shared" si="7"/>
        <v>0.71390484637836615</v>
      </c>
      <c r="E67" s="13">
        <v>495.61</v>
      </c>
      <c r="F67" s="8">
        <f t="shared" si="8"/>
        <v>353.81838091358208</v>
      </c>
      <c r="G67" s="7">
        <f t="shared" si="9"/>
        <v>21.443538237186793</v>
      </c>
      <c r="H67" s="8">
        <f t="shared" si="10"/>
        <v>141.79161908641794</v>
      </c>
      <c r="I67" s="7">
        <f t="shared" si="11"/>
        <v>6.5949590272752525</v>
      </c>
      <c r="J67" s="8">
        <f t="shared" si="12"/>
        <v>28.038497264462045</v>
      </c>
      <c r="K67" s="12">
        <f t="shared" si="13"/>
        <v>1794015.3099079295</v>
      </c>
    </row>
    <row r="68" spans="1:11" x14ac:dyDescent="0.25">
      <c r="A68" s="41" t="s">
        <v>57</v>
      </c>
      <c r="B68" s="219">
        <v>3124.12</v>
      </c>
      <c r="C68" s="236">
        <v>2504.67</v>
      </c>
      <c r="D68" s="14">
        <f t="shared" si="7"/>
        <v>0.80172016439829463</v>
      </c>
      <c r="E68" s="13">
        <v>736.70999999999992</v>
      </c>
      <c r="F68" s="8">
        <f t="shared" si="8"/>
        <v>590.63526231386754</v>
      </c>
      <c r="G68" s="7">
        <f t="shared" si="9"/>
        <v>35.796076503870758</v>
      </c>
      <c r="H68" s="8">
        <f t="shared" si="10"/>
        <v>146.07473768613238</v>
      </c>
      <c r="I68" s="7">
        <f t="shared" si="11"/>
        <v>6.7941738458666228</v>
      </c>
      <c r="J68" s="8">
        <f t="shared" si="12"/>
        <v>42.590250349737381</v>
      </c>
      <c r="K68" s="12">
        <f t="shared" si="13"/>
        <v>2725094.7317024977</v>
      </c>
    </row>
    <row r="69" spans="1:11" x14ac:dyDescent="0.25">
      <c r="A69" s="41" t="s">
        <v>58</v>
      </c>
      <c r="B69" s="219">
        <v>16899.259999999998</v>
      </c>
      <c r="C69" s="236">
        <v>7185.6</v>
      </c>
      <c r="D69" s="14">
        <f t="shared" si="7"/>
        <v>0.42520205026728985</v>
      </c>
      <c r="E69" s="13">
        <v>3606.7999999999997</v>
      </c>
      <c r="F69" s="8">
        <f t="shared" si="8"/>
        <v>1533.618754904061</v>
      </c>
      <c r="G69" s="7">
        <f t="shared" si="9"/>
        <v>92.946591206306721</v>
      </c>
      <c r="H69" s="8">
        <f t="shared" si="10"/>
        <v>2073.1812450959387</v>
      </c>
      <c r="I69" s="7">
        <f t="shared" si="11"/>
        <v>96.42703465562505</v>
      </c>
      <c r="J69" s="8">
        <f t="shared" si="12"/>
        <v>189.37362586193177</v>
      </c>
      <c r="K69" s="12">
        <f t="shared" si="13"/>
        <v>12116882.758894894</v>
      </c>
    </row>
    <row r="70" spans="1:11" x14ac:dyDescent="0.25">
      <c r="A70" s="41" t="s">
        <v>59</v>
      </c>
      <c r="B70" s="219">
        <v>4230.8599999999997</v>
      </c>
      <c r="C70" s="236">
        <v>3894.1</v>
      </c>
      <c r="D70" s="14">
        <f t="shared" si="7"/>
        <v>0.92040388951655228</v>
      </c>
      <c r="E70" s="13">
        <v>991.02</v>
      </c>
      <c r="F70" s="8">
        <f t="shared" si="8"/>
        <v>912.13866258869359</v>
      </c>
      <c r="G70" s="7">
        <f t="shared" si="9"/>
        <v>55.281131065981427</v>
      </c>
      <c r="H70" s="8">
        <f t="shared" si="10"/>
        <v>78.88133741130639</v>
      </c>
      <c r="I70" s="7">
        <f t="shared" si="11"/>
        <v>3.668899414479367</v>
      </c>
      <c r="J70" s="8">
        <f t="shared" si="12"/>
        <v>58.950030480460796</v>
      </c>
      <c r="K70" s="12">
        <f t="shared" si="13"/>
        <v>3771858.9624819132</v>
      </c>
    </row>
    <row r="71" spans="1:11" x14ac:dyDescent="0.25">
      <c r="A71" s="41" t="s">
        <v>60</v>
      </c>
      <c r="B71" s="219">
        <v>3684.37</v>
      </c>
      <c r="C71" s="236">
        <v>3216.9</v>
      </c>
      <c r="D71" s="14">
        <f t="shared" si="7"/>
        <v>0.87312077777204788</v>
      </c>
      <c r="E71" s="13">
        <v>855.29</v>
      </c>
      <c r="F71" s="8">
        <f t="shared" si="8"/>
        <v>746.77147002065476</v>
      </c>
      <c r="G71" s="7">
        <f t="shared" si="9"/>
        <v>45.258876970948776</v>
      </c>
      <c r="H71" s="8">
        <f t="shared" si="10"/>
        <v>108.5185299793452</v>
      </c>
      <c r="I71" s="7">
        <f t="shared" si="11"/>
        <v>5.0473734874114049</v>
      </c>
      <c r="J71" s="8">
        <f t="shared" si="12"/>
        <v>50.306250458360182</v>
      </c>
      <c r="K71" s="12">
        <f t="shared" si="13"/>
        <v>3218795.3104302194</v>
      </c>
    </row>
    <row r="72" spans="1:11" x14ac:dyDescent="0.25">
      <c r="A72" s="41" t="s">
        <v>61</v>
      </c>
      <c r="B72" s="219">
        <v>665.85</v>
      </c>
      <c r="C72" s="236">
        <v>557.95000000000005</v>
      </c>
      <c r="D72" s="14">
        <f t="shared" si="7"/>
        <v>0.83795149057595564</v>
      </c>
      <c r="E72" s="13">
        <v>137.92000000000002</v>
      </c>
      <c r="F72" s="8">
        <f t="shared" si="8"/>
        <v>115.57026958023582</v>
      </c>
      <c r="G72" s="7">
        <f t="shared" si="9"/>
        <v>7.0042587624385346</v>
      </c>
      <c r="H72" s="8">
        <f t="shared" si="10"/>
        <v>22.349730419764199</v>
      </c>
      <c r="I72" s="7">
        <f t="shared" si="11"/>
        <v>1.0395223451053115</v>
      </c>
      <c r="J72" s="8">
        <f t="shared" si="12"/>
        <v>8.0437811075438468</v>
      </c>
      <c r="K72" s="12">
        <f t="shared" si="13"/>
        <v>514673.31934269745</v>
      </c>
    </row>
    <row r="73" spans="1:11" x14ac:dyDescent="0.25">
      <c r="A73" s="41" t="s">
        <v>62</v>
      </c>
      <c r="B73" s="219">
        <v>5751.42</v>
      </c>
      <c r="C73" s="236">
        <v>4084.96</v>
      </c>
      <c r="D73" s="14">
        <f t="shared" si="7"/>
        <v>0.71025242461861593</v>
      </c>
      <c r="E73" s="13">
        <v>1315.42</v>
      </c>
      <c r="F73" s="8">
        <f t="shared" si="8"/>
        <v>934.28024439181979</v>
      </c>
      <c r="G73" s="7">
        <f t="shared" si="9"/>
        <v>56.623045114655746</v>
      </c>
      <c r="H73" s="8">
        <f t="shared" si="10"/>
        <v>381.13975560818028</v>
      </c>
      <c r="I73" s="7">
        <f t="shared" si="11"/>
        <v>17.727430493403734</v>
      </c>
      <c r="J73" s="8">
        <f t="shared" si="12"/>
        <v>74.350475608059483</v>
      </c>
      <c r="K73" s="12">
        <f t="shared" si="13"/>
        <v>4757241.0989677897</v>
      </c>
    </row>
    <row r="74" spans="1:11" x14ac:dyDescent="0.25">
      <c r="A74" s="41" t="s">
        <v>63</v>
      </c>
      <c r="B74" s="219">
        <v>10099.5</v>
      </c>
      <c r="C74" s="236">
        <v>6589.44</v>
      </c>
      <c r="D74" s="14">
        <f t="shared" si="7"/>
        <v>0.65245210158918754</v>
      </c>
      <c r="E74" s="13">
        <v>2383.91</v>
      </c>
      <c r="F74" s="8">
        <f t="shared" si="8"/>
        <v>1555.38708949948</v>
      </c>
      <c r="G74" s="7">
        <f t="shared" si="9"/>
        <v>94.265884212089702</v>
      </c>
      <c r="H74" s="8">
        <f t="shared" si="10"/>
        <v>828.52291050051986</v>
      </c>
      <c r="I74" s="7">
        <f t="shared" si="11"/>
        <v>38.535949325605571</v>
      </c>
      <c r="J74" s="8">
        <f t="shared" si="12"/>
        <v>132.80183353769527</v>
      </c>
      <c r="K74" s="12">
        <f t="shared" si="13"/>
        <v>8497192.9951624945</v>
      </c>
    </row>
    <row r="75" spans="1:11" x14ac:dyDescent="0.25">
      <c r="A75" s="41" t="s">
        <v>64</v>
      </c>
      <c r="B75" s="219">
        <v>2483.25</v>
      </c>
      <c r="C75" s="236">
        <v>2250.21</v>
      </c>
      <c r="D75" s="14">
        <f t="shared" si="7"/>
        <v>0.9061552401087285</v>
      </c>
      <c r="E75" s="13">
        <v>555.83000000000004</v>
      </c>
      <c r="F75" s="8">
        <f t="shared" si="8"/>
        <v>503.6682671096346</v>
      </c>
      <c r="G75" s="7">
        <f t="shared" si="9"/>
        <v>30.525349521796038</v>
      </c>
      <c r="H75" s="8">
        <f t="shared" si="10"/>
        <v>52.161732890365442</v>
      </c>
      <c r="I75" s="7">
        <f t="shared" si="11"/>
        <v>2.4261271111797882</v>
      </c>
      <c r="J75" s="8">
        <f t="shared" si="12"/>
        <v>32.951476632975826</v>
      </c>
      <c r="K75" s="12">
        <f t="shared" si="13"/>
        <v>2108367.3995096409</v>
      </c>
    </row>
    <row r="76" spans="1:11" x14ac:dyDescent="0.25">
      <c r="A76" s="41" t="s">
        <v>65</v>
      </c>
      <c r="B76" s="219">
        <v>3390.2</v>
      </c>
      <c r="C76" s="236">
        <v>2686.84</v>
      </c>
      <c r="D76" s="14">
        <f t="shared" si="7"/>
        <v>0.7925314140758658</v>
      </c>
      <c r="E76" s="13">
        <v>749.35</v>
      </c>
      <c r="F76" s="8">
        <f t="shared" si="8"/>
        <v>593.88341513775003</v>
      </c>
      <c r="G76" s="7">
        <f t="shared" si="9"/>
        <v>35.992934250772727</v>
      </c>
      <c r="H76" s="8">
        <f t="shared" si="10"/>
        <v>155.46658486224999</v>
      </c>
      <c r="I76" s="7">
        <f t="shared" si="11"/>
        <v>7.2310039470813949</v>
      </c>
      <c r="J76" s="8">
        <f t="shared" si="12"/>
        <v>43.223938197854125</v>
      </c>
      <c r="K76" s="12">
        <f t="shared" si="13"/>
        <v>2765640.6172576756</v>
      </c>
    </row>
    <row r="77" spans="1:11" x14ac:dyDescent="0.25">
      <c r="A77" s="41" t="s">
        <v>66</v>
      </c>
      <c r="B77" s="219">
        <v>6118.74</v>
      </c>
      <c r="C77" s="236">
        <v>5379.45</v>
      </c>
      <c r="D77" s="14">
        <f t="shared" si="7"/>
        <v>0.87917610488433895</v>
      </c>
      <c r="E77" s="13">
        <v>1491.3400000000001</v>
      </c>
      <c r="F77" s="8">
        <f t="shared" si="8"/>
        <v>1311.1504922582101</v>
      </c>
      <c r="G77" s="7">
        <f t="shared" si="9"/>
        <v>79.463666197467276</v>
      </c>
      <c r="H77" s="8">
        <f t="shared" si="10"/>
        <v>180.18950774179007</v>
      </c>
      <c r="I77" s="7">
        <f t="shared" si="11"/>
        <v>8.3809073368274447</v>
      </c>
      <c r="J77" s="8">
        <f t="shared" si="12"/>
        <v>87.844573534294724</v>
      </c>
      <c r="K77" s="12">
        <f t="shared" si="13"/>
        <v>5620647.5092587778</v>
      </c>
    </row>
    <row r="78" spans="1:11" x14ac:dyDescent="0.25">
      <c r="A78" s="41" t="s">
        <v>67</v>
      </c>
      <c r="B78" s="219">
        <v>15618.17</v>
      </c>
      <c r="C78" s="236">
        <v>9318.2800000000007</v>
      </c>
      <c r="D78" s="14">
        <f t="shared" si="7"/>
        <v>0.59663071921998545</v>
      </c>
      <c r="E78" s="13">
        <v>3504</v>
      </c>
      <c r="F78" s="8">
        <f t="shared" si="8"/>
        <v>2090.5940401468292</v>
      </c>
      <c r="G78" s="7">
        <f t="shared" si="9"/>
        <v>126.70266909980784</v>
      </c>
      <c r="H78" s="8">
        <f t="shared" si="10"/>
        <v>1413.4059598531708</v>
      </c>
      <c r="I78" s="7">
        <f t="shared" si="11"/>
        <v>65.739812086193993</v>
      </c>
      <c r="J78" s="8">
        <f t="shared" si="12"/>
        <v>192.44248118600183</v>
      </c>
      <c r="K78" s="12">
        <f t="shared" si="13"/>
        <v>12313240.408998072</v>
      </c>
    </row>
    <row r="79" spans="1:11" x14ac:dyDescent="0.25">
      <c r="A79" s="41" t="s">
        <v>68</v>
      </c>
      <c r="B79" s="219">
        <v>22502.1</v>
      </c>
      <c r="C79" s="236">
        <v>17146.64</v>
      </c>
      <c r="D79" s="14">
        <f t="shared" ref="D79:D96" si="14">C79/B79</f>
        <v>0.76200176872380798</v>
      </c>
      <c r="E79" s="13">
        <v>5449.5599999999995</v>
      </c>
      <c r="F79" s="8">
        <f t="shared" ref="F79:F95" si="15">E79*D79</f>
        <v>4152.5743587665147</v>
      </c>
      <c r="G79" s="7">
        <f t="shared" ref="G79:G95" si="16">(F79/$F$4)</f>
        <v>251.67117325857666</v>
      </c>
      <c r="H79" s="8">
        <f t="shared" ref="H79:H95" si="17">E79-F79</f>
        <v>1296.9856412334848</v>
      </c>
      <c r="I79" s="7">
        <f t="shared" ref="I79:I95" si="18">(H79/$F$5)</f>
        <v>60.324913545743478</v>
      </c>
      <c r="J79" s="8">
        <f t="shared" ref="J79:J95" si="19">G79+I79</f>
        <v>311.99608680432016</v>
      </c>
      <c r="K79" s="12">
        <f t="shared" ref="K79:K95" si="20">J79*$B$7</f>
        <v>19962758.741273534</v>
      </c>
    </row>
    <row r="80" spans="1:11" x14ac:dyDescent="0.25">
      <c r="A80" s="41" t="s">
        <v>69</v>
      </c>
      <c r="B80" s="219">
        <v>27586.57</v>
      </c>
      <c r="C80" s="236">
        <v>15039.74</v>
      </c>
      <c r="D80" s="14">
        <f t="shared" si="14"/>
        <v>0.54518339902351032</v>
      </c>
      <c r="E80" s="13">
        <v>6080.8099999999995</v>
      </c>
      <c r="F80" s="8">
        <f t="shared" si="15"/>
        <v>3315.1566646161514</v>
      </c>
      <c r="G80" s="7">
        <f t="shared" si="16"/>
        <v>200.91858573431222</v>
      </c>
      <c r="H80" s="8">
        <f t="shared" si="17"/>
        <v>2765.6533353838481</v>
      </c>
      <c r="I80" s="7">
        <f t="shared" si="18"/>
        <v>128.6350388550627</v>
      </c>
      <c r="J80" s="8">
        <f t="shared" si="19"/>
        <v>329.55362458937492</v>
      </c>
      <c r="K80" s="12">
        <f t="shared" si="20"/>
        <v>21086160.302119613</v>
      </c>
    </row>
    <row r="81" spans="1:12" x14ac:dyDescent="0.25">
      <c r="A81" s="41" t="s">
        <v>70</v>
      </c>
      <c r="B81" s="219">
        <v>2197.3200000000002</v>
      </c>
      <c r="C81" s="236">
        <v>1682.59</v>
      </c>
      <c r="D81" s="14">
        <f t="shared" si="14"/>
        <v>0.76574645477217695</v>
      </c>
      <c r="E81" s="13">
        <v>563.85</v>
      </c>
      <c r="F81" s="8">
        <f t="shared" si="15"/>
        <v>431.766138523292</v>
      </c>
      <c r="G81" s="7">
        <f t="shared" si="16"/>
        <v>26.167644758987393</v>
      </c>
      <c r="H81" s="8">
        <f t="shared" si="17"/>
        <v>132.08386147670802</v>
      </c>
      <c r="I81" s="7">
        <f t="shared" si="18"/>
        <v>6.1434354175213031</v>
      </c>
      <c r="J81" s="8">
        <f t="shared" si="19"/>
        <v>32.311080176508696</v>
      </c>
      <c r="K81" s="12">
        <f t="shared" si="20"/>
        <v>2067392.270333621</v>
      </c>
    </row>
    <row r="82" spans="1:12" x14ac:dyDescent="0.25">
      <c r="A82" s="41" t="s">
        <v>71</v>
      </c>
      <c r="B82" s="219">
        <v>4904.8</v>
      </c>
      <c r="C82" s="236">
        <v>2789.85</v>
      </c>
      <c r="D82" s="14">
        <f t="shared" si="14"/>
        <v>0.56879995106834114</v>
      </c>
      <c r="E82" s="13">
        <v>1038.78</v>
      </c>
      <c r="F82" s="8">
        <f t="shared" si="15"/>
        <v>590.85801317077141</v>
      </c>
      <c r="G82" s="7">
        <f t="shared" si="16"/>
        <v>35.809576555804327</v>
      </c>
      <c r="H82" s="8">
        <f t="shared" si="17"/>
        <v>447.92198682922856</v>
      </c>
      <c r="I82" s="7">
        <f t="shared" si="18"/>
        <v>20.833580782754815</v>
      </c>
      <c r="J82" s="8">
        <f t="shared" si="19"/>
        <v>56.643157338559142</v>
      </c>
      <c r="K82" s="12">
        <f t="shared" si="20"/>
        <v>3624255.9830657342</v>
      </c>
    </row>
    <row r="83" spans="1:12" x14ac:dyDescent="0.25">
      <c r="A83" s="41" t="s">
        <v>72</v>
      </c>
      <c r="B83" s="219">
        <v>9921.15</v>
      </c>
      <c r="C83" s="236">
        <v>5800.34</v>
      </c>
      <c r="D83" s="14">
        <f t="shared" si="14"/>
        <v>0.58464391728781451</v>
      </c>
      <c r="E83" s="13">
        <v>2254.69</v>
      </c>
      <c r="F83" s="8">
        <f t="shared" si="15"/>
        <v>1318.1907938696625</v>
      </c>
      <c r="G83" s="7">
        <f t="shared" si="16"/>
        <v>79.890351143615902</v>
      </c>
      <c r="H83" s="8">
        <f t="shared" si="17"/>
        <v>936.4992061303376</v>
      </c>
      <c r="I83" s="7">
        <f t="shared" si="18"/>
        <v>43.558102610713377</v>
      </c>
      <c r="J83" s="8">
        <f t="shared" si="19"/>
        <v>123.44845375432928</v>
      </c>
      <c r="K83" s="12">
        <f t="shared" si="20"/>
        <v>7898726.3094314374</v>
      </c>
    </row>
    <row r="84" spans="1:12" x14ac:dyDescent="0.25">
      <c r="A84" s="41" t="s">
        <v>73</v>
      </c>
      <c r="B84" s="219">
        <v>2737.16</v>
      </c>
      <c r="C84" s="236">
        <v>1943.24</v>
      </c>
      <c r="D84" s="14">
        <f t="shared" si="14"/>
        <v>0.70994753686302592</v>
      </c>
      <c r="E84" s="13">
        <v>570.92000000000007</v>
      </c>
      <c r="F84" s="8">
        <f t="shared" si="15"/>
        <v>405.32324774583878</v>
      </c>
      <c r="G84" s="7">
        <f t="shared" si="16"/>
        <v>24.565045317929624</v>
      </c>
      <c r="H84" s="8">
        <f t="shared" si="17"/>
        <v>165.59675225416129</v>
      </c>
      <c r="I84" s="7">
        <f t="shared" si="18"/>
        <v>7.7021745234493624</v>
      </c>
      <c r="J84" s="8">
        <f t="shared" si="19"/>
        <v>32.267219841378989</v>
      </c>
      <c r="K84" s="12">
        <f t="shared" si="20"/>
        <v>2064585.9104927846</v>
      </c>
    </row>
    <row r="85" spans="1:12" x14ac:dyDescent="0.25">
      <c r="A85" s="41" t="s">
        <v>74</v>
      </c>
      <c r="B85" s="219">
        <v>2669.43</v>
      </c>
      <c r="C85" s="236">
        <v>1792.49</v>
      </c>
      <c r="D85" s="14">
        <f t="shared" si="14"/>
        <v>0.6714879206422345</v>
      </c>
      <c r="E85" s="13">
        <v>634.69000000000005</v>
      </c>
      <c r="F85" s="8">
        <f t="shared" si="15"/>
        <v>426.18666835241987</v>
      </c>
      <c r="G85" s="7">
        <f t="shared" si="16"/>
        <v>25.829495051661809</v>
      </c>
      <c r="H85" s="8">
        <f t="shared" si="17"/>
        <v>208.50333164758018</v>
      </c>
      <c r="I85" s="7">
        <f t="shared" si="18"/>
        <v>9.6978293789572181</v>
      </c>
      <c r="J85" s="8">
        <f t="shared" si="19"/>
        <v>35.527324430619025</v>
      </c>
      <c r="K85" s="12">
        <f t="shared" si="20"/>
        <v>2273180.4542670953</v>
      </c>
    </row>
    <row r="86" spans="1:12" x14ac:dyDescent="0.25">
      <c r="A86" s="41" t="s">
        <v>75</v>
      </c>
      <c r="B86" s="219">
        <v>8533.4500000000007</v>
      </c>
      <c r="C86" s="236">
        <v>4605.55</v>
      </c>
      <c r="D86" s="14">
        <f t="shared" si="14"/>
        <v>0.5397055118387053</v>
      </c>
      <c r="E86" s="13">
        <v>1970.27</v>
      </c>
      <c r="F86" s="8">
        <f t="shared" si="15"/>
        <v>1063.3655788104459</v>
      </c>
      <c r="G86" s="7">
        <f t="shared" si="16"/>
        <v>64.446398715784596</v>
      </c>
      <c r="H86" s="8">
        <f t="shared" si="17"/>
        <v>906.90442118955411</v>
      </c>
      <c r="I86" s="7">
        <f t="shared" si="18"/>
        <v>42.181600985560657</v>
      </c>
      <c r="J86" s="8">
        <f t="shared" si="19"/>
        <v>106.62799970134526</v>
      </c>
      <c r="K86" s="12">
        <f t="shared" si="20"/>
        <v>6822486.3167516738</v>
      </c>
    </row>
    <row r="87" spans="1:12" x14ac:dyDescent="0.25">
      <c r="A87" s="41" t="s">
        <v>76</v>
      </c>
      <c r="B87" s="219">
        <v>10966.62</v>
      </c>
      <c r="C87" s="236">
        <v>7289.33</v>
      </c>
      <c r="D87" s="14">
        <f t="shared" si="14"/>
        <v>0.6646833755523579</v>
      </c>
      <c r="E87" s="13">
        <v>2386.16</v>
      </c>
      <c r="F87" s="8">
        <f t="shared" si="15"/>
        <v>1586.0408834080142</v>
      </c>
      <c r="G87" s="7">
        <f t="shared" si="16"/>
        <v>96.123689903516009</v>
      </c>
      <c r="H87" s="8">
        <f t="shared" si="17"/>
        <v>800.11911659198563</v>
      </c>
      <c r="I87" s="7">
        <f t="shared" si="18"/>
        <v>37.21484263218538</v>
      </c>
      <c r="J87" s="8">
        <f t="shared" si="19"/>
        <v>133.3385325357014</v>
      </c>
      <c r="K87" s="12">
        <f t="shared" si="20"/>
        <v>8531533.1457830351</v>
      </c>
    </row>
    <row r="88" spans="1:12" x14ac:dyDescent="0.25">
      <c r="A88" s="41" t="s">
        <v>77</v>
      </c>
      <c r="B88" s="219">
        <v>7107.44</v>
      </c>
      <c r="C88" s="236">
        <v>5120.8100000000004</v>
      </c>
      <c r="D88" s="14">
        <f t="shared" si="14"/>
        <v>0.72048585707371438</v>
      </c>
      <c r="E88" s="13">
        <v>1688.8899999999999</v>
      </c>
      <c r="F88" s="8">
        <f t="shared" si="15"/>
        <v>1216.8213591532253</v>
      </c>
      <c r="G88" s="7">
        <f t="shared" si="16"/>
        <v>73.746749039589417</v>
      </c>
      <c r="H88" s="8">
        <f t="shared" si="17"/>
        <v>472.06864084677454</v>
      </c>
      <c r="I88" s="7">
        <f t="shared" si="18"/>
        <v>21.95668096961742</v>
      </c>
      <c r="J88" s="8">
        <f t="shared" si="19"/>
        <v>95.703430009206841</v>
      </c>
      <c r="K88" s="12">
        <f t="shared" si="20"/>
        <v>6123488.6102414383</v>
      </c>
    </row>
    <row r="89" spans="1:12" x14ac:dyDescent="0.25">
      <c r="A89" s="41" t="s">
        <v>78</v>
      </c>
      <c r="B89" s="219">
        <v>15888.61</v>
      </c>
      <c r="C89" s="236">
        <v>11802.21</v>
      </c>
      <c r="D89" s="14">
        <f t="shared" si="14"/>
        <v>0.74280947169072675</v>
      </c>
      <c r="E89" s="13">
        <v>3761.8599999999997</v>
      </c>
      <c r="F89" s="8">
        <f t="shared" si="15"/>
        <v>2794.3452391744772</v>
      </c>
      <c r="G89" s="7">
        <f t="shared" si="16"/>
        <v>169.35425691966529</v>
      </c>
      <c r="H89" s="8">
        <f t="shared" si="17"/>
        <v>967.51476082552244</v>
      </c>
      <c r="I89" s="7">
        <f t="shared" si="18"/>
        <v>45.000686550024298</v>
      </c>
      <c r="J89" s="8">
        <f t="shared" si="19"/>
        <v>214.3549434696896</v>
      </c>
      <c r="K89" s="12">
        <f t="shared" si="20"/>
        <v>13715287.474642415</v>
      </c>
    </row>
    <row r="90" spans="1:12" x14ac:dyDescent="0.25">
      <c r="A90" s="41" t="s">
        <v>79</v>
      </c>
      <c r="B90" s="219">
        <v>3787.02</v>
      </c>
      <c r="C90" s="236">
        <v>2926.7</v>
      </c>
      <c r="D90" s="14">
        <f t="shared" si="14"/>
        <v>0.7728240146606038</v>
      </c>
      <c r="E90" s="13">
        <v>916.25</v>
      </c>
      <c r="F90" s="8">
        <f t="shared" si="15"/>
        <v>708.10000343277818</v>
      </c>
      <c r="G90" s="7">
        <f t="shared" si="16"/>
        <v>42.915151723198676</v>
      </c>
      <c r="H90" s="8">
        <f t="shared" si="17"/>
        <v>208.14999656722182</v>
      </c>
      <c r="I90" s="7">
        <f t="shared" si="18"/>
        <v>9.6813951891731076</v>
      </c>
      <c r="J90" s="8">
        <f t="shared" si="19"/>
        <v>52.596546912371785</v>
      </c>
      <c r="K90" s="12">
        <f t="shared" si="20"/>
        <v>3365337.6469887649</v>
      </c>
    </row>
    <row r="91" spans="1:12" x14ac:dyDescent="0.25">
      <c r="A91" s="41" t="s">
        <v>80</v>
      </c>
      <c r="B91" s="219">
        <v>3426.1</v>
      </c>
      <c r="C91" s="236">
        <v>3131.81</v>
      </c>
      <c r="D91" s="14">
        <f t="shared" si="14"/>
        <v>0.91410349960596593</v>
      </c>
      <c r="E91" s="13">
        <v>758.53</v>
      </c>
      <c r="F91" s="8">
        <f t="shared" si="15"/>
        <v>693.37492755611333</v>
      </c>
      <c r="G91" s="7">
        <f t="shared" si="16"/>
        <v>42.022722882188688</v>
      </c>
      <c r="H91" s="8">
        <f t="shared" si="17"/>
        <v>65.155072443886638</v>
      </c>
      <c r="I91" s="7">
        <f t="shared" si="18"/>
        <v>3.0304684857621691</v>
      </c>
      <c r="J91" s="8">
        <f t="shared" si="19"/>
        <v>45.053191367950859</v>
      </c>
      <c r="K91" s="12">
        <f t="shared" si="20"/>
        <v>2882683.5586784566</v>
      </c>
    </row>
    <row r="92" spans="1:12" x14ac:dyDescent="0.25">
      <c r="A92" s="41" t="s">
        <v>81</v>
      </c>
      <c r="B92" s="219">
        <v>4956.4399999999996</v>
      </c>
      <c r="C92" s="236">
        <v>3366.99</v>
      </c>
      <c r="D92" s="14">
        <f t="shared" si="14"/>
        <v>0.67931620275843152</v>
      </c>
      <c r="E92" s="13">
        <v>1153.08</v>
      </c>
      <c r="F92" s="8">
        <f t="shared" si="15"/>
        <v>783.30592707669211</v>
      </c>
      <c r="G92" s="7">
        <f t="shared" si="16"/>
        <v>47.473086489496495</v>
      </c>
      <c r="H92" s="8">
        <f t="shared" si="17"/>
        <v>369.77407292330781</v>
      </c>
      <c r="I92" s="7">
        <f t="shared" si="18"/>
        <v>17.198794089456179</v>
      </c>
      <c r="J92" s="8">
        <f t="shared" si="19"/>
        <v>64.671880578952681</v>
      </c>
      <c r="K92" s="12">
        <f t="shared" si="20"/>
        <v>4137965.8397824783</v>
      </c>
    </row>
    <row r="93" spans="1:12" x14ac:dyDescent="0.25">
      <c r="A93" s="41" t="s">
        <v>82</v>
      </c>
      <c r="B93" s="219">
        <v>7694.47</v>
      </c>
      <c r="C93" s="236">
        <v>2768.93</v>
      </c>
      <c r="D93" s="14">
        <f t="shared" si="14"/>
        <v>0.35985974342612287</v>
      </c>
      <c r="E93" s="13">
        <v>1707.26</v>
      </c>
      <c r="F93" s="8">
        <f t="shared" si="15"/>
        <v>614.37414556168255</v>
      </c>
      <c r="G93" s="7">
        <f t="shared" si="16"/>
        <v>37.234796700708031</v>
      </c>
      <c r="H93" s="8">
        <f t="shared" si="17"/>
        <v>1092.8858544383174</v>
      </c>
      <c r="I93" s="7">
        <f t="shared" si="18"/>
        <v>50.831900206433367</v>
      </c>
      <c r="J93" s="8">
        <f t="shared" si="19"/>
        <v>88.066696907141392</v>
      </c>
      <c r="K93" s="12">
        <f t="shared" si="20"/>
        <v>5634859.8519466436</v>
      </c>
    </row>
    <row r="94" spans="1:12" x14ac:dyDescent="0.25">
      <c r="A94" s="41" t="s">
        <v>83</v>
      </c>
      <c r="B94" s="219">
        <v>17132.009999999998</v>
      </c>
      <c r="C94" s="236">
        <v>10493.05</v>
      </c>
      <c r="D94" s="14">
        <f t="shared" si="14"/>
        <v>0.61248213140197794</v>
      </c>
      <c r="E94" s="13">
        <v>3903.7</v>
      </c>
      <c r="F94" s="8">
        <f t="shared" si="15"/>
        <v>2390.9464963539012</v>
      </c>
      <c r="G94" s="7">
        <f t="shared" si="16"/>
        <v>144.9058482638728</v>
      </c>
      <c r="H94" s="8">
        <f t="shared" si="17"/>
        <v>1512.7535036460986</v>
      </c>
      <c r="I94" s="7">
        <f t="shared" si="18"/>
        <v>70.360628076562719</v>
      </c>
      <c r="J94" s="8">
        <f t="shared" si="19"/>
        <v>215.26647634043553</v>
      </c>
      <c r="K94" s="12">
        <f t="shared" si="20"/>
        <v>13773610.997125741</v>
      </c>
    </row>
    <row r="95" spans="1:12" x14ac:dyDescent="0.25">
      <c r="A95" s="41" t="s">
        <v>84</v>
      </c>
      <c r="B95" s="219">
        <v>15937.31</v>
      </c>
      <c r="C95" s="236">
        <v>3335.44</v>
      </c>
      <c r="D95" s="14">
        <f t="shared" si="14"/>
        <v>0.2092850048094691</v>
      </c>
      <c r="E95" s="13">
        <v>3792.2300000000005</v>
      </c>
      <c r="F95" s="8">
        <f t="shared" si="15"/>
        <v>793.6568737886131</v>
      </c>
      <c r="G95" s="7">
        <f t="shared" si="16"/>
        <v>48.100416593249278</v>
      </c>
      <c r="H95" s="8">
        <f t="shared" si="17"/>
        <v>2998.5731262113873</v>
      </c>
      <c r="I95" s="7">
        <f t="shared" si="18"/>
        <v>139.46851749820405</v>
      </c>
      <c r="J95" s="8">
        <f t="shared" si="19"/>
        <v>187.56893409145334</v>
      </c>
      <c r="K95" s="12">
        <f t="shared" si="20"/>
        <v>12001411.354155712</v>
      </c>
    </row>
    <row r="96" spans="1:12" s="241" customFormat="1" ht="15.75" thickBot="1" x14ac:dyDescent="0.3">
      <c r="A96" s="687" t="s">
        <v>312</v>
      </c>
      <c r="B96" s="223">
        <v>721122.25</v>
      </c>
      <c r="C96" s="238">
        <v>446194.4</v>
      </c>
      <c r="D96" s="17">
        <f t="shared" si="14"/>
        <v>0.61875001083380798</v>
      </c>
      <c r="E96" s="16">
        <f t="shared" ref="E96:K96" si="21">SUM(E15:E95)</f>
        <v>167319.1</v>
      </c>
      <c r="F96" s="18">
        <f t="shared" si="21"/>
        <v>103594.42752935697</v>
      </c>
      <c r="G96" s="19">
        <f t="shared" si="21"/>
        <v>6278.4501532943614</v>
      </c>
      <c r="H96" s="18">
        <f t="shared" si="21"/>
        <v>63724.67247064304</v>
      </c>
      <c r="I96" s="20">
        <f t="shared" si="21"/>
        <v>2963.9382544485129</v>
      </c>
      <c r="J96" s="18">
        <f t="shared" si="21"/>
        <v>9242.388407742872</v>
      </c>
      <c r="K96" s="21">
        <f t="shared" si="21"/>
        <v>591365013.15361834</v>
      </c>
      <c r="L96" s="1"/>
    </row>
  </sheetData>
  <sortState ref="A15:P95">
    <sortCondition ref="A15"/>
  </sortState>
  <mergeCells count="17">
    <mergeCell ref="H12:H13"/>
    <mergeCell ref="I12:I13"/>
    <mergeCell ref="J12:J13"/>
    <mergeCell ref="J11:K11"/>
    <mergeCell ref="D3:F3"/>
    <mergeCell ref="B10:K10"/>
    <mergeCell ref="K12:K13"/>
    <mergeCell ref="B11:E11"/>
    <mergeCell ref="F11:G11"/>
    <mergeCell ref="H11:I11"/>
    <mergeCell ref="F12:F13"/>
    <mergeCell ref="G12:G13"/>
    <mergeCell ref="A12:A13"/>
    <mergeCell ref="B12:B13"/>
    <mergeCell ref="C12:C13"/>
    <mergeCell ref="D12:D13"/>
    <mergeCell ref="E12:E13"/>
  </mergeCells>
  <conditionalFormatting sqref="O97:O1048576">
    <cfRule type="cellIs" dxfId="14" priority="6" operator="lessThan">
      <formula>0</formula>
    </cfRule>
  </conditionalFormatting>
  <conditionalFormatting sqref="K15:K96">
    <cfRule type="cellIs" dxfId="13" priority="2" operator="lessThan">
      <formula>0</formula>
    </cfRule>
  </conditionalFormatting>
  <conditionalFormatting sqref="K12">
    <cfRule type="cellIs" dxfId="12" priority="1" operator="lessThan">
      <formula>0</formula>
    </cfRule>
  </conditionalFormatting>
  <printOptions horizontalCentered="1"/>
  <pageMargins left="0.5" right="0.5" top="0.5" bottom="0.5" header="0.3" footer="0.3"/>
  <pageSetup scale="70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L96"/>
  <sheetViews>
    <sheetView zoomScaleNormal="100" workbookViewId="0">
      <selection activeCell="G9" sqref="G9"/>
    </sheetView>
  </sheetViews>
  <sheetFormatPr defaultRowHeight="15" x14ac:dyDescent="0.25"/>
  <cols>
    <col min="1" max="1" width="19.85546875" style="1" customWidth="1"/>
    <col min="2" max="2" width="13.28515625" style="1" customWidth="1"/>
    <col min="3" max="3" width="10.42578125" style="230" customWidth="1"/>
    <col min="4" max="4" width="11.7109375" style="1" customWidth="1"/>
    <col min="5" max="5" width="11.28515625" style="230" customWidth="1"/>
    <col min="6" max="6" width="14.85546875" style="1" bestFit="1" customWidth="1"/>
    <col min="7" max="7" width="18" style="1" customWidth="1"/>
    <col min="8" max="8" width="13.28515625" style="1" customWidth="1"/>
    <col min="9" max="9" width="13.7109375" style="1" customWidth="1"/>
    <col min="10" max="10" width="17.5703125" style="1" customWidth="1"/>
    <col min="11" max="11" width="14" style="1" customWidth="1"/>
    <col min="12" max="12" width="12.28515625" style="1" customWidth="1"/>
    <col min="13" max="13" width="12.7109375" style="1" bestFit="1" customWidth="1"/>
    <col min="14" max="14" width="13.85546875" style="1" bestFit="1" customWidth="1"/>
    <col min="15" max="15" width="12.7109375" style="1" bestFit="1" customWidth="1"/>
    <col min="16" max="16" width="9.7109375" style="1" bestFit="1" customWidth="1"/>
    <col min="17" max="17" width="7" style="1" bestFit="1" customWidth="1"/>
    <col min="18" max="16384" width="9.140625" style="1"/>
  </cols>
  <sheetData>
    <row r="1" spans="1:11" ht="23.25" x14ac:dyDescent="0.35">
      <c r="A1" s="229" t="s">
        <v>670</v>
      </c>
    </row>
    <row r="2" spans="1:11" ht="15.75" customHeight="1" thickBot="1" x14ac:dyDescent="0.4">
      <c r="A2" s="229"/>
    </row>
    <row r="3" spans="1:11" ht="15.75" thickBot="1" x14ac:dyDescent="0.3">
      <c r="A3" s="640" t="s">
        <v>94</v>
      </c>
      <c r="B3" s="352"/>
      <c r="C3" s="353"/>
      <c r="D3" s="836" t="s">
        <v>104</v>
      </c>
      <c r="E3" s="837"/>
      <c r="F3" s="838"/>
    </row>
    <row r="4" spans="1:11" ht="25.5" x14ac:dyDescent="0.25">
      <c r="A4" s="354" t="s">
        <v>163</v>
      </c>
      <c r="B4" s="37">
        <f>Amounts!B4</f>
        <v>44586</v>
      </c>
      <c r="C4" s="353"/>
      <c r="D4" s="355" t="s">
        <v>102</v>
      </c>
      <c r="E4" s="651"/>
      <c r="F4" s="10">
        <f>Amounts!B18</f>
        <v>16.5</v>
      </c>
    </row>
    <row r="5" spans="1:11" ht="15.75" thickBot="1" x14ac:dyDescent="0.3">
      <c r="A5" s="354" t="s">
        <v>138</v>
      </c>
      <c r="B5" s="37">
        <f>B4*C9</f>
        <v>12600.0036</v>
      </c>
      <c r="C5" s="353"/>
      <c r="D5" s="356" t="s">
        <v>103</v>
      </c>
      <c r="E5" s="652"/>
      <c r="F5" s="11">
        <f>Amounts!C18</f>
        <v>21.5</v>
      </c>
    </row>
    <row r="6" spans="1:11" x14ac:dyDescent="0.25">
      <c r="A6" s="355" t="s">
        <v>98</v>
      </c>
      <c r="B6" s="37">
        <f>Amounts!B6</f>
        <v>6798</v>
      </c>
      <c r="C6" s="353"/>
      <c r="D6" s="353"/>
      <c r="E6" s="353"/>
    </row>
    <row r="7" spans="1:11" ht="15.75" thickBot="1" x14ac:dyDescent="0.3">
      <c r="A7" s="644" t="s">
        <v>96</v>
      </c>
      <c r="B7" s="645">
        <f>SUM(B4:B6)</f>
        <v>63984.003599999996</v>
      </c>
      <c r="C7" s="353"/>
      <c r="D7" s="353"/>
      <c r="E7" s="353"/>
    </row>
    <row r="8" spans="1:11" ht="15.75" customHeight="1" x14ac:dyDescent="0.25">
      <c r="A8" s="353"/>
      <c r="B8" s="353"/>
      <c r="C8" s="353"/>
      <c r="D8" s="353"/>
      <c r="E8" s="353"/>
    </row>
    <row r="9" spans="1:11" ht="15.75" customHeight="1" thickBot="1" x14ac:dyDescent="0.3">
      <c r="A9" s="648" t="s">
        <v>137</v>
      </c>
      <c r="B9" s="649"/>
      <c r="C9" s="231">
        <f>Amounts!B9</f>
        <v>0.28260000000000002</v>
      </c>
      <c r="D9" s="353"/>
      <c r="E9" s="653"/>
    </row>
    <row r="10" spans="1:11" ht="15.75" thickBot="1" x14ac:dyDescent="0.3">
      <c r="B10" s="839" t="s">
        <v>122</v>
      </c>
      <c r="C10" s="840"/>
      <c r="D10" s="840"/>
      <c r="E10" s="840"/>
      <c r="F10" s="840"/>
      <c r="G10" s="840"/>
      <c r="H10" s="840"/>
      <c r="I10" s="840"/>
      <c r="J10" s="840"/>
      <c r="K10" s="841"/>
    </row>
    <row r="11" spans="1:11" ht="15.75" thickBot="1" x14ac:dyDescent="0.3">
      <c r="B11" s="833" t="s">
        <v>93</v>
      </c>
      <c r="C11" s="834"/>
      <c r="D11" s="834"/>
      <c r="E11" s="834"/>
      <c r="F11" s="833" t="s">
        <v>2</v>
      </c>
      <c r="G11" s="835"/>
      <c r="H11" s="833" t="s">
        <v>120</v>
      </c>
      <c r="I11" s="835"/>
      <c r="J11" s="833" t="s">
        <v>89</v>
      </c>
      <c r="K11" s="835"/>
    </row>
    <row r="12" spans="1:11" ht="15" customHeight="1" x14ac:dyDescent="0.25">
      <c r="A12" s="848" t="s">
        <v>0</v>
      </c>
      <c r="B12" s="844" t="s">
        <v>86</v>
      </c>
      <c r="C12" s="846" t="s">
        <v>85</v>
      </c>
      <c r="D12" s="846" t="s">
        <v>92</v>
      </c>
      <c r="E12" s="846" t="s">
        <v>109</v>
      </c>
      <c r="F12" s="844" t="s">
        <v>88</v>
      </c>
      <c r="G12" s="827" t="s">
        <v>3</v>
      </c>
      <c r="H12" s="844" t="s">
        <v>88</v>
      </c>
      <c r="I12" s="827" t="s">
        <v>3</v>
      </c>
      <c r="J12" s="844" t="s">
        <v>87</v>
      </c>
      <c r="K12" s="842" t="s">
        <v>105</v>
      </c>
    </row>
    <row r="13" spans="1:11" x14ac:dyDescent="0.25">
      <c r="A13" s="849"/>
      <c r="B13" s="845"/>
      <c r="C13" s="847"/>
      <c r="D13" s="847"/>
      <c r="E13" s="847"/>
      <c r="F13" s="845"/>
      <c r="G13" s="828"/>
      <c r="H13" s="845"/>
      <c r="I13" s="828"/>
      <c r="J13" s="845"/>
      <c r="K13" s="843"/>
    </row>
    <row r="14" spans="1:11" x14ac:dyDescent="0.25">
      <c r="A14" s="698" t="s">
        <v>715</v>
      </c>
      <c r="B14" s="690" t="s">
        <v>716</v>
      </c>
      <c r="C14" s="689" t="s">
        <v>717</v>
      </c>
      <c r="D14" s="689" t="s">
        <v>718</v>
      </c>
      <c r="E14" s="689" t="s">
        <v>719</v>
      </c>
      <c r="F14" s="690" t="s">
        <v>720</v>
      </c>
      <c r="G14" s="696" t="s">
        <v>721</v>
      </c>
      <c r="H14" s="690" t="s">
        <v>722</v>
      </c>
      <c r="I14" s="696" t="s">
        <v>723</v>
      </c>
      <c r="J14" s="690" t="s">
        <v>724</v>
      </c>
      <c r="K14" s="695" t="s">
        <v>725</v>
      </c>
    </row>
    <row r="15" spans="1:11" x14ac:dyDescent="0.25">
      <c r="A15" s="41" t="s">
        <v>4</v>
      </c>
      <c r="B15" s="219">
        <v>2915.96</v>
      </c>
      <c r="C15" s="236">
        <v>2006.13</v>
      </c>
      <c r="D15" s="14">
        <f t="shared" ref="D15:D46" si="0">C15/B15</f>
        <v>0.68798268837706966</v>
      </c>
      <c r="E15" s="13">
        <v>715.3</v>
      </c>
      <c r="F15" s="8">
        <f t="shared" ref="F15:F46" si="1">E15*D15</f>
        <v>492.11401699611793</v>
      </c>
      <c r="G15" s="7">
        <f t="shared" ref="G15:G46" si="2">(F15/$F$4)</f>
        <v>29.825091939158661</v>
      </c>
      <c r="H15" s="8">
        <f t="shared" ref="H15:H46" si="3">E15-F15</f>
        <v>223.18598300388203</v>
      </c>
      <c r="I15" s="7">
        <f t="shared" ref="I15:I46" si="4">(H15/$F$5)</f>
        <v>10.380743395529397</v>
      </c>
      <c r="J15" s="8">
        <f>G15+I15</f>
        <v>40.205835334688061</v>
      </c>
      <c r="K15" s="12">
        <f t="shared" ref="K15:K46" si="5">J15*$B$7</f>
        <v>2572530.3127956879</v>
      </c>
    </row>
    <row r="16" spans="1:11" x14ac:dyDescent="0.25">
      <c r="A16" s="41" t="s">
        <v>5</v>
      </c>
      <c r="B16" s="219">
        <v>23246.81</v>
      </c>
      <c r="C16" s="236">
        <v>15253.01</v>
      </c>
      <c r="D16" s="14">
        <f t="shared" si="0"/>
        <v>0.65613346519371907</v>
      </c>
      <c r="E16" s="13">
        <v>5727.3099999999995</v>
      </c>
      <c r="F16" s="8">
        <f t="shared" si="1"/>
        <v>3757.879756538639</v>
      </c>
      <c r="G16" s="7">
        <f t="shared" si="2"/>
        <v>227.75028827506904</v>
      </c>
      <c r="H16" s="8">
        <f t="shared" si="3"/>
        <v>1969.4302434613605</v>
      </c>
      <c r="I16" s="7">
        <f t="shared" si="4"/>
        <v>91.601406672621422</v>
      </c>
      <c r="J16" s="8">
        <f t="shared" ref="J16:J46" si="6">G16+I16</f>
        <v>319.35169494769048</v>
      </c>
      <c r="K16" s="12">
        <f t="shared" si="5"/>
        <v>20433399.99919913</v>
      </c>
    </row>
    <row r="17" spans="1:11" x14ac:dyDescent="0.25">
      <c r="A17" s="41" t="s">
        <v>6</v>
      </c>
      <c r="B17" s="219">
        <v>1028.55</v>
      </c>
      <c r="C17" s="236">
        <v>973.11</v>
      </c>
      <c r="D17" s="14">
        <f t="shared" si="0"/>
        <v>0.94609887705993878</v>
      </c>
      <c r="E17" s="13">
        <v>263.93</v>
      </c>
      <c r="F17" s="8">
        <f t="shared" si="1"/>
        <v>249.70387662242965</v>
      </c>
      <c r="G17" s="7">
        <f t="shared" si="2"/>
        <v>15.133568280147252</v>
      </c>
      <c r="H17" s="8">
        <f t="shared" si="3"/>
        <v>14.22612337757036</v>
      </c>
      <c r="I17" s="7">
        <f t="shared" si="4"/>
        <v>0.6616801570962958</v>
      </c>
      <c r="J17" s="8">
        <f t="shared" si="6"/>
        <v>15.795248437243547</v>
      </c>
      <c r="K17" s="12">
        <f t="shared" si="5"/>
        <v>1010643.2328714854</v>
      </c>
    </row>
    <row r="18" spans="1:11" x14ac:dyDescent="0.25">
      <c r="A18" s="41" t="s">
        <v>7</v>
      </c>
      <c r="B18" s="219">
        <v>9875.19</v>
      </c>
      <c r="C18" s="236">
        <v>4961.09</v>
      </c>
      <c r="D18" s="14">
        <f t="shared" si="0"/>
        <v>0.50237919472941783</v>
      </c>
      <c r="E18" s="13">
        <v>2448.83</v>
      </c>
      <c r="F18" s="8">
        <f t="shared" si="1"/>
        <v>1230.2412434292403</v>
      </c>
      <c r="G18" s="7">
        <f t="shared" si="2"/>
        <v>74.560075359347891</v>
      </c>
      <c r="H18" s="8">
        <f t="shared" si="3"/>
        <v>1218.5887565707596</v>
      </c>
      <c r="I18" s="7">
        <f t="shared" si="4"/>
        <v>56.678546817244637</v>
      </c>
      <c r="J18" s="8">
        <f t="shared" si="6"/>
        <v>131.23862217659251</v>
      </c>
      <c r="K18" s="12">
        <f t="shared" si="5"/>
        <v>8397172.4738061354</v>
      </c>
    </row>
    <row r="19" spans="1:11" x14ac:dyDescent="0.25">
      <c r="A19" s="41" t="s">
        <v>8</v>
      </c>
      <c r="B19" s="219">
        <v>3618.89</v>
      </c>
      <c r="C19" s="236">
        <v>2306.6999999999998</v>
      </c>
      <c r="D19" s="14">
        <f t="shared" si="0"/>
        <v>0.63740539226116288</v>
      </c>
      <c r="E19" s="13">
        <v>875.36000000000013</v>
      </c>
      <c r="F19" s="8">
        <f t="shared" si="1"/>
        <v>557.95918416973166</v>
      </c>
      <c r="G19" s="7">
        <f t="shared" si="2"/>
        <v>33.815708131498887</v>
      </c>
      <c r="H19" s="8">
        <f t="shared" si="3"/>
        <v>317.40081583026847</v>
      </c>
      <c r="I19" s="7">
        <f t="shared" si="4"/>
        <v>14.762828643268302</v>
      </c>
      <c r="J19" s="8">
        <f t="shared" si="6"/>
        <v>48.578536774767187</v>
      </c>
      <c r="K19" s="12">
        <f t="shared" si="5"/>
        <v>3108249.271879436</v>
      </c>
    </row>
    <row r="20" spans="1:11" x14ac:dyDescent="0.25">
      <c r="A20" s="41" t="s">
        <v>9</v>
      </c>
      <c r="B20" s="219">
        <v>2479.0500000000002</v>
      </c>
      <c r="C20" s="236">
        <v>1811.63</v>
      </c>
      <c r="D20" s="14">
        <f t="shared" si="0"/>
        <v>0.73077590205925658</v>
      </c>
      <c r="E20" s="13">
        <v>624.78</v>
      </c>
      <c r="F20" s="8">
        <f t="shared" si="1"/>
        <v>456.57416808858233</v>
      </c>
      <c r="G20" s="7">
        <f t="shared" si="2"/>
        <v>27.671161702338324</v>
      </c>
      <c r="H20" s="8">
        <f t="shared" si="3"/>
        <v>168.20583191141765</v>
      </c>
      <c r="I20" s="7">
        <f t="shared" si="4"/>
        <v>7.8235270656473324</v>
      </c>
      <c r="J20" s="8">
        <f t="shared" si="6"/>
        <v>35.494688767985657</v>
      </c>
      <c r="K20" s="12">
        <f t="shared" si="5"/>
        <v>2271092.2939116736</v>
      </c>
    </row>
    <row r="21" spans="1:11" x14ac:dyDescent="0.25">
      <c r="A21" s="41" t="s">
        <v>10</v>
      </c>
      <c r="B21" s="219">
        <v>2744.29</v>
      </c>
      <c r="C21" s="236">
        <v>1684.95</v>
      </c>
      <c r="D21" s="14">
        <f t="shared" si="0"/>
        <v>0.61398394484547913</v>
      </c>
      <c r="E21" s="13">
        <v>690.68</v>
      </c>
      <c r="F21" s="8">
        <f t="shared" si="1"/>
        <v>424.06643102587549</v>
      </c>
      <c r="G21" s="7">
        <f t="shared" si="2"/>
        <v>25.70099581975003</v>
      </c>
      <c r="H21" s="8">
        <f t="shared" si="3"/>
        <v>266.61356897412446</v>
      </c>
      <c r="I21" s="7">
        <f t="shared" si="4"/>
        <v>12.400631115075557</v>
      </c>
      <c r="J21" s="8">
        <f t="shared" si="6"/>
        <v>38.101626934825589</v>
      </c>
      <c r="K21" s="12">
        <f t="shared" si="5"/>
        <v>2437894.6349637373</v>
      </c>
    </row>
    <row r="22" spans="1:11" x14ac:dyDescent="0.25">
      <c r="A22" s="41" t="s">
        <v>11</v>
      </c>
      <c r="B22" s="219">
        <v>12671.61</v>
      </c>
      <c r="C22" s="236">
        <v>8210.69</v>
      </c>
      <c r="D22" s="14">
        <f t="shared" si="0"/>
        <v>0.64795949370285233</v>
      </c>
      <c r="E22" s="13">
        <v>3131.9300000000003</v>
      </c>
      <c r="F22" s="8">
        <f t="shared" si="1"/>
        <v>2029.3637771127744</v>
      </c>
      <c r="G22" s="7">
        <f t="shared" si="2"/>
        <v>122.99174406744088</v>
      </c>
      <c r="H22" s="8">
        <f t="shared" si="3"/>
        <v>1102.5662228872259</v>
      </c>
      <c r="I22" s="7">
        <f t="shared" si="4"/>
        <v>51.282149901731437</v>
      </c>
      <c r="J22" s="8">
        <f t="shared" si="6"/>
        <v>174.27389396917232</v>
      </c>
      <c r="K22" s="12">
        <f t="shared" si="5"/>
        <v>11150741.459109539</v>
      </c>
    </row>
    <row r="23" spans="1:11" x14ac:dyDescent="0.25">
      <c r="A23" s="41" t="s">
        <v>12</v>
      </c>
      <c r="B23" s="219">
        <v>1256.76</v>
      </c>
      <c r="C23" s="236">
        <v>988.98</v>
      </c>
      <c r="D23" s="14">
        <f t="shared" si="0"/>
        <v>0.78692829179795665</v>
      </c>
      <c r="E23" s="13">
        <v>304.97000000000003</v>
      </c>
      <c r="F23" s="8">
        <f t="shared" si="1"/>
        <v>239.98952114962287</v>
      </c>
      <c r="G23" s="7">
        <f t="shared" si="2"/>
        <v>14.544819463613507</v>
      </c>
      <c r="H23" s="8">
        <f t="shared" si="3"/>
        <v>64.980478850377153</v>
      </c>
      <c r="I23" s="7">
        <f t="shared" si="4"/>
        <v>3.0223478535059143</v>
      </c>
      <c r="J23" s="8">
        <f t="shared" si="6"/>
        <v>17.56716731711942</v>
      </c>
      <c r="K23" s="12">
        <f t="shared" si="5"/>
        <v>1124017.6968603712</v>
      </c>
    </row>
    <row r="24" spans="1:11" x14ac:dyDescent="0.25">
      <c r="A24" s="41" t="s">
        <v>13</v>
      </c>
      <c r="B24" s="219">
        <v>638.25</v>
      </c>
      <c r="C24" s="236">
        <v>596.16999999999996</v>
      </c>
      <c r="D24" s="14">
        <f t="shared" si="0"/>
        <v>0.93406972189580884</v>
      </c>
      <c r="E24" s="13">
        <v>147.88999999999999</v>
      </c>
      <c r="F24" s="8">
        <f t="shared" si="1"/>
        <v>138.13957117117116</v>
      </c>
      <c r="G24" s="7">
        <f t="shared" si="2"/>
        <v>8.3720952224952221</v>
      </c>
      <c r="H24" s="8">
        <f t="shared" si="3"/>
        <v>9.7504288288288308</v>
      </c>
      <c r="I24" s="7">
        <f t="shared" si="4"/>
        <v>0.45350831761994564</v>
      </c>
      <c r="J24" s="8">
        <f t="shared" si="6"/>
        <v>8.8256035401151678</v>
      </c>
      <c r="K24" s="12">
        <f t="shared" si="5"/>
        <v>564697.44868290157</v>
      </c>
    </row>
    <row r="25" spans="1:11" x14ac:dyDescent="0.25">
      <c r="A25" s="41" t="s">
        <v>14</v>
      </c>
      <c r="B25" s="219">
        <v>587.14</v>
      </c>
      <c r="C25" s="236">
        <v>560.97</v>
      </c>
      <c r="D25" s="14">
        <f t="shared" si="0"/>
        <v>0.95542800694893903</v>
      </c>
      <c r="E25" s="13">
        <v>136.88999999999999</v>
      </c>
      <c r="F25" s="8">
        <f t="shared" si="1"/>
        <v>130.78853987124026</v>
      </c>
      <c r="G25" s="7">
        <f t="shared" si="2"/>
        <v>7.9265781740145611</v>
      </c>
      <c r="H25" s="8">
        <f t="shared" si="3"/>
        <v>6.1014601287597259</v>
      </c>
      <c r="I25" s="7">
        <f t="shared" si="4"/>
        <v>0.28378884319812681</v>
      </c>
      <c r="J25" s="8">
        <f t="shared" si="6"/>
        <v>8.2103670172126879</v>
      </c>
      <c r="K25" s="12">
        <f t="shared" si="5"/>
        <v>525332.15278665791</v>
      </c>
    </row>
    <row r="26" spans="1:11" x14ac:dyDescent="0.25">
      <c r="A26" s="41" t="s">
        <v>15</v>
      </c>
      <c r="B26" s="219">
        <v>822.79</v>
      </c>
      <c r="C26" s="236">
        <v>627.70000000000005</v>
      </c>
      <c r="D26" s="14">
        <f t="shared" si="0"/>
        <v>0.76289211098822307</v>
      </c>
      <c r="E26" s="13">
        <v>198.72</v>
      </c>
      <c r="F26" s="8">
        <f t="shared" si="1"/>
        <v>151.60192029557967</v>
      </c>
      <c r="G26" s="7">
        <f t="shared" si="2"/>
        <v>9.1879951694290707</v>
      </c>
      <c r="H26" s="8">
        <f t="shared" si="3"/>
        <v>47.118079704420325</v>
      </c>
      <c r="I26" s="7">
        <f t="shared" si="4"/>
        <v>2.1915385909032707</v>
      </c>
      <c r="J26" s="8">
        <f t="shared" si="6"/>
        <v>11.379533760332341</v>
      </c>
      <c r="K26" s="12">
        <f t="shared" si="5"/>
        <v>728108.129087426</v>
      </c>
    </row>
    <row r="27" spans="1:11" x14ac:dyDescent="0.25">
      <c r="A27" s="41" t="s">
        <v>16</v>
      </c>
      <c r="B27" s="219">
        <v>2117.3200000000002</v>
      </c>
      <c r="C27" s="236">
        <v>1622.36</v>
      </c>
      <c r="D27" s="14">
        <f t="shared" si="0"/>
        <v>0.76623278484121427</v>
      </c>
      <c r="E27" s="13">
        <v>512.27</v>
      </c>
      <c r="F27" s="8">
        <f t="shared" si="1"/>
        <v>392.5180686906088</v>
      </c>
      <c r="G27" s="7">
        <f t="shared" si="2"/>
        <v>23.788973860036897</v>
      </c>
      <c r="H27" s="8">
        <f t="shared" si="3"/>
        <v>119.75193130939118</v>
      </c>
      <c r="I27" s="7">
        <f t="shared" si="4"/>
        <v>5.569857270204241</v>
      </c>
      <c r="J27" s="8">
        <f t="shared" si="6"/>
        <v>29.358831130241139</v>
      </c>
      <c r="K27" s="12">
        <f t="shared" si="5"/>
        <v>1878495.5567291409</v>
      </c>
    </row>
    <row r="28" spans="1:11" x14ac:dyDescent="0.25">
      <c r="A28" s="41" t="s">
        <v>17</v>
      </c>
      <c r="B28" s="219">
        <v>21287.25</v>
      </c>
      <c r="C28" s="236">
        <v>12285.96</v>
      </c>
      <c r="D28" s="14">
        <f t="shared" si="0"/>
        <v>0.57715111158087584</v>
      </c>
      <c r="E28" s="13">
        <v>5138.1899999999996</v>
      </c>
      <c r="F28" s="8">
        <f t="shared" si="1"/>
        <v>2965.5120700137404</v>
      </c>
      <c r="G28" s="7">
        <f t="shared" si="2"/>
        <v>179.728004243257</v>
      </c>
      <c r="H28" s="8">
        <f t="shared" si="3"/>
        <v>2172.6779299862592</v>
      </c>
      <c r="I28" s="7">
        <f t="shared" si="4"/>
        <v>101.05478744122136</v>
      </c>
      <c r="J28" s="8">
        <f t="shared" si="6"/>
        <v>280.78279168447835</v>
      </c>
      <c r="K28" s="12">
        <f t="shared" si="5"/>
        <v>17965607.153957713</v>
      </c>
    </row>
    <row r="29" spans="1:11" x14ac:dyDescent="0.25">
      <c r="A29" s="41" t="s">
        <v>18</v>
      </c>
      <c r="B29" s="219">
        <v>34520.18</v>
      </c>
      <c r="C29" s="236">
        <v>19753.580000000002</v>
      </c>
      <c r="D29" s="14">
        <f t="shared" si="0"/>
        <v>0.57223282149745458</v>
      </c>
      <c r="E29" s="13">
        <v>8638.5300000000007</v>
      </c>
      <c r="F29" s="8">
        <f t="shared" si="1"/>
        <v>4943.2503954904068</v>
      </c>
      <c r="G29" s="7">
        <f t="shared" si="2"/>
        <v>299.59093306002467</v>
      </c>
      <c r="H29" s="8">
        <f t="shared" si="3"/>
        <v>3695.2796045095938</v>
      </c>
      <c r="I29" s="7">
        <f t="shared" si="4"/>
        <v>171.87346997719041</v>
      </c>
      <c r="J29" s="8">
        <f t="shared" si="6"/>
        <v>471.46440303721511</v>
      </c>
      <c r="K29" s="12">
        <f t="shared" si="5"/>
        <v>30166180.061205022</v>
      </c>
    </row>
    <row r="30" spans="1:11" x14ac:dyDescent="0.25">
      <c r="A30" s="41" t="s">
        <v>19</v>
      </c>
      <c r="B30" s="219">
        <v>1587.18</v>
      </c>
      <c r="C30" s="236">
        <v>1248.23</v>
      </c>
      <c r="D30" s="14">
        <f t="shared" si="0"/>
        <v>0.78644514169785407</v>
      </c>
      <c r="E30" s="13">
        <v>426.92</v>
      </c>
      <c r="F30" s="8">
        <f t="shared" si="1"/>
        <v>335.74915989364786</v>
      </c>
      <c r="G30" s="7">
        <f t="shared" si="2"/>
        <v>20.348433932948353</v>
      </c>
      <c r="H30" s="8">
        <f t="shared" si="3"/>
        <v>91.170840106352159</v>
      </c>
      <c r="I30" s="7">
        <f t="shared" si="4"/>
        <v>4.240504190993124</v>
      </c>
      <c r="J30" s="8">
        <f t="shared" si="6"/>
        <v>24.588938123941478</v>
      </c>
      <c r="K30" s="12">
        <f t="shared" si="5"/>
        <v>1573298.7054424486</v>
      </c>
    </row>
    <row r="31" spans="1:11" x14ac:dyDescent="0.25">
      <c r="A31" s="41" t="s">
        <v>20</v>
      </c>
      <c r="B31" s="219">
        <v>46485.36</v>
      </c>
      <c r="C31" s="236">
        <v>24154.240000000002</v>
      </c>
      <c r="D31" s="14">
        <f t="shared" si="0"/>
        <v>0.51960961472601264</v>
      </c>
      <c r="E31" s="13">
        <v>11652.72</v>
      </c>
      <c r="F31" s="8">
        <f t="shared" si="1"/>
        <v>6054.8653497101013</v>
      </c>
      <c r="G31" s="7">
        <f t="shared" si="2"/>
        <v>366.96153634606674</v>
      </c>
      <c r="H31" s="8">
        <f t="shared" si="3"/>
        <v>5597.854650289898</v>
      </c>
      <c r="I31" s="7">
        <f t="shared" si="4"/>
        <v>260.36533257162318</v>
      </c>
      <c r="J31" s="8">
        <f t="shared" si="6"/>
        <v>627.32686891768992</v>
      </c>
      <c r="K31" s="12">
        <f t="shared" si="5"/>
        <v>40138884.639206201</v>
      </c>
    </row>
    <row r="32" spans="1:11" x14ac:dyDescent="0.25">
      <c r="A32" s="41" t="s">
        <v>21</v>
      </c>
      <c r="B32" s="219">
        <v>8259.2199999999993</v>
      </c>
      <c r="C32" s="236">
        <v>6117.46</v>
      </c>
      <c r="D32" s="14">
        <f t="shared" si="0"/>
        <v>0.74068253418603702</v>
      </c>
      <c r="E32" s="13">
        <v>2069.0299999999997</v>
      </c>
      <c r="F32" s="8">
        <f t="shared" si="1"/>
        <v>1532.4943837069361</v>
      </c>
      <c r="G32" s="7">
        <f t="shared" si="2"/>
        <v>92.87844749739007</v>
      </c>
      <c r="H32" s="8">
        <f t="shared" si="3"/>
        <v>536.53561629306364</v>
      </c>
      <c r="I32" s="7">
        <f t="shared" si="4"/>
        <v>24.955144943863424</v>
      </c>
      <c r="J32" s="8">
        <f t="shared" si="6"/>
        <v>117.8335924412535</v>
      </c>
      <c r="K32" s="12">
        <f t="shared" si="5"/>
        <v>7539465.0029620966</v>
      </c>
    </row>
    <row r="33" spans="1:11" x14ac:dyDescent="0.25">
      <c r="A33" s="41" t="s">
        <v>22</v>
      </c>
      <c r="B33" s="219">
        <v>4970.04</v>
      </c>
      <c r="C33" s="236">
        <v>3916.87</v>
      </c>
      <c r="D33" s="14">
        <f t="shared" si="0"/>
        <v>0.78809627286701911</v>
      </c>
      <c r="E33" s="13">
        <v>1274.6499999999999</v>
      </c>
      <c r="F33" s="8">
        <f t="shared" si="1"/>
        <v>1004.5469142099458</v>
      </c>
      <c r="G33" s="7">
        <f t="shared" si="2"/>
        <v>60.881631164239138</v>
      </c>
      <c r="H33" s="8">
        <f t="shared" si="3"/>
        <v>270.10308579005402</v>
      </c>
      <c r="I33" s="7">
        <f t="shared" si="4"/>
        <v>12.56293422279321</v>
      </c>
      <c r="J33" s="8">
        <f t="shared" si="6"/>
        <v>73.444565387032355</v>
      </c>
      <c r="K33" s="12">
        <f t="shared" si="5"/>
        <v>4699277.3361243131</v>
      </c>
    </row>
    <row r="34" spans="1:11" x14ac:dyDescent="0.25">
      <c r="A34" s="41" t="s">
        <v>23</v>
      </c>
      <c r="B34" s="219">
        <v>6691.02</v>
      </c>
      <c r="C34" s="236">
        <v>5025.46</v>
      </c>
      <c r="D34" s="14">
        <f t="shared" si="0"/>
        <v>0.75107532184928449</v>
      </c>
      <c r="E34" s="13">
        <v>1665.9799999999998</v>
      </c>
      <c r="F34" s="8">
        <f t="shared" si="1"/>
        <v>1251.2764646944709</v>
      </c>
      <c r="G34" s="7">
        <f t="shared" si="2"/>
        <v>75.834937254210359</v>
      </c>
      <c r="H34" s="8">
        <f t="shared" si="3"/>
        <v>414.70353530552893</v>
      </c>
      <c r="I34" s="7">
        <f t="shared" si="4"/>
        <v>19.288536525838555</v>
      </c>
      <c r="J34" s="8">
        <f t="shared" si="6"/>
        <v>95.123473780048911</v>
      </c>
      <c r="K34" s="12">
        <f t="shared" si="5"/>
        <v>6086380.6887871549</v>
      </c>
    </row>
    <row r="35" spans="1:11" x14ac:dyDescent="0.25">
      <c r="A35" s="41" t="s">
        <v>24</v>
      </c>
      <c r="B35" s="219">
        <v>710.4</v>
      </c>
      <c r="C35" s="236">
        <v>656.97</v>
      </c>
      <c r="D35" s="14">
        <f t="shared" si="0"/>
        <v>0.92478885135135147</v>
      </c>
      <c r="E35" s="13">
        <v>177.42</v>
      </c>
      <c r="F35" s="8">
        <f t="shared" si="1"/>
        <v>164.07603800675676</v>
      </c>
      <c r="G35" s="7">
        <f t="shared" si="2"/>
        <v>9.9440023034398042</v>
      </c>
      <c r="H35" s="8">
        <f t="shared" si="3"/>
        <v>13.343961993243227</v>
      </c>
      <c r="I35" s="7">
        <f t="shared" si="4"/>
        <v>0.62064939503456873</v>
      </c>
      <c r="J35" s="8">
        <f t="shared" si="6"/>
        <v>10.564651698474373</v>
      </c>
      <c r="K35" s="12">
        <f t="shared" si="5"/>
        <v>675968.71230793034</v>
      </c>
    </row>
    <row r="36" spans="1:11" x14ac:dyDescent="0.25">
      <c r="A36" s="41" t="s">
        <v>25</v>
      </c>
      <c r="B36" s="219">
        <v>2753.54</v>
      </c>
      <c r="C36" s="236">
        <v>2395.11</v>
      </c>
      <c r="D36" s="14">
        <f t="shared" si="0"/>
        <v>0.8698293832666314</v>
      </c>
      <c r="E36" s="13">
        <v>668.38</v>
      </c>
      <c r="F36" s="8">
        <f t="shared" si="1"/>
        <v>581.37656318775112</v>
      </c>
      <c r="G36" s="7">
        <f t="shared" si="2"/>
        <v>35.234943223500068</v>
      </c>
      <c r="H36" s="8">
        <f t="shared" si="3"/>
        <v>87.003436812248879</v>
      </c>
      <c r="I36" s="7">
        <f t="shared" si="4"/>
        <v>4.0466714796394827</v>
      </c>
      <c r="J36" s="8">
        <f t="shared" si="6"/>
        <v>39.281614703139553</v>
      </c>
      <c r="K36" s="12">
        <f t="shared" si="5"/>
        <v>2513394.9765794938</v>
      </c>
    </row>
    <row r="37" spans="1:11" x14ac:dyDescent="0.25">
      <c r="A37" s="41" t="s">
        <v>26</v>
      </c>
      <c r="B37" s="219">
        <v>1253.3399999999999</v>
      </c>
      <c r="C37" s="236">
        <v>789.47</v>
      </c>
      <c r="D37" s="14">
        <f t="shared" si="0"/>
        <v>0.62989292610145697</v>
      </c>
      <c r="E37" s="13">
        <v>279.44</v>
      </c>
      <c r="F37" s="8">
        <f t="shared" si="1"/>
        <v>176.01727926979115</v>
      </c>
      <c r="G37" s="7">
        <f t="shared" si="2"/>
        <v>10.667713895138858</v>
      </c>
      <c r="H37" s="8">
        <f t="shared" si="3"/>
        <v>103.42272073020885</v>
      </c>
      <c r="I37" s="7">
        <f t="shared" si="4"/>
        <v>4.8103591037306446</v>
      </c>
      <c r="J37" s="8">
        <f t="shared" si="6"/>
        <v>15.478072998869504</v>
      </c>
      <c r="K37" s="12">
        <f t="shared" si="5"/>
        <v>990349.07848072902</v>
      </c>
    </row>
    <row r="38" spans="1:11" x14ac:dyDescent="0.25">
      <c r="A38" s="41" t="s">
        <v>27</v>
      </c>
      <c r="B38" s="219">
        <v>5263.6</v>
      </c>
      <c r="C38" s="236">
        <v>4431.29</v>
      </c>
      <c r="D38" s="14">
        <f t="shared" si="0"/>
        <v>0.84187438255186553</v>
      </c>
      <c r="E38" s="13">
        <v>1368.96</v>
      </c>
      <c r="F38" s="8">
        <f t="shared" si="1"/>
        <v>1152.4923547382018</v>
      </c>
      <c r="G38" s="7">
        <f t="shared" si="2"/>
        <v>69.848021499284954</v>
      </c>
      <c r="H38" s="8">
        <f t="shared" si="3"/>
        <v>216.46764526179822</v>
      </c>
      <c r="I38" s="7">
        <f t="shared" si="4"/>
        <v>10.068262570316197</v>
      </c>
      <c r="J38" s="8">
        <f t="shared" si="6"/>
        <v>79.916284069601147</v>
      </c>
      <c r="K38" s="12">
        <f t="shared" si="5"/>
        <v>5113363.8076079823</v>
      </c>
    </row>
    <row r="39" spans="1:11" x14ac:dyDescent="0.25">
      <c r="A39" s="41" t="s">
        <v>28</v>
      </c>
      <c r="B39" s="219">
        <v>9606.7099999999991</v>
      </c>
      <c r="C39" s="236">
        <v>7456.46</v>
      </c>
      <c r="D39" s="14">
        <f t="shared" si="0"/>
        <v>0.77617207139593059</v>
      </c>
      <c r="E39" s="13">
        <v>2373.5500000000002</v>
      </c>
      <c r="F39" s="8">
        <f t="shared" si="1"/>
        <v>1842.2832200618111</v>
      </c>
      <c r="G39" s="7">
        <f t="shared" si="2"/>
        <v>111.65352848859462</v>
      </c>
      <c r="H39" s="8">
        <f t="shared" si="3"/>
        <v>531.26677993818907</v>
      </c>
      <c r="I39" s="7">
        <f t="shared" si="4"/>
        <v>24.710082787822749</v>
      </c>
      <c r="J39" s="8">
        <f t="shared" si="6"/>
        <v>136.36361127641737</v>
      </c>
      <c r="K39" s="12">
        <f t="shared" si="5"/>
        <v>8725089.7948192898</v>
      </c>
    </row>
    <row r="40" spans="1:11" x14ac:dyDescent="0.25">
      <c r="A40" s="41" t="s">
        <v>29</v>
      </c>
      <c r="B40" s="219">
        <v>1528.03</v>
      </c>
      <c r="C40" s="236">
        <v>1086.46</v>
      </c>
      <c r="D40" s="14">
        <f t="shared" si="0"/>
        <v>0.711020071595453</v>
      </c>
      <c r="E40" s="13">
        <v>361.14</v>
      </c>
      <c r="F40" s="8">
        <f t="shared" si="1"/>
        <v>256.77778865598191</v>
      </c>
      <c r="G40" s="7">
        <f t="shared" si="2"/>
        <v>15.562290221574662</v>
      </c>
      <c r="H40" s="8">
        <f t="shared" si="3"/>
        <v>104.36221134401808</v>
      </c>
      <c r="I40" s="7">
        <f t="shared" si="4"/>
        <v>4.8540563415822362</v>
      </c>
      <c r="J40" s="8">
        <f t="shared" si="6"/>
        <v>20.4163465631569</v>
      </c>
      <c r="K40" s="12">
        <f t="shared" si="5"/>
        <v>1306319.5919958786</v>
      </c>
    </row>
    <row r="41" spans="1:11" x14ac:dyDescent="0.25">
      <c r="A41" s="41" t="s">
        <v>30</v>
      </c>
      <c r="B41" s="219">
        <v>3982.19</v>
      </c>
      <c r="C41" s="236">
        <v>3716.77</v>
      </c>
      <c r="D41" s="14">
        <f t="shared" si="0"/>
        <v>0.93334823300746572</v>
      </c>
      <c r="E41" s="13">
        <v>998.96</v>
      </c>
      <c r="F41" s="8">
        <f t="shared" si="1"/>
        <v>932.37755084513799</v>
      </c>
      <c r="G41" s="7">
        <f t="shared" si="2"/>
        <v>56.507730354250789</v>
      </c>
      <c r="H41" s="8">
        <f t="shared" si="3"/>
        <v>66.582449154862047</v>
      </c>
      <c r="I41" s="7">
        <f t="shared" si="4"/>
        <v>3.0968581002261417</v>
      </c>
      <c r="J41" s="8">
        <f t="shared" si="6"/>
        <v>59.604588454476932</v>
      </c>
      <c r="K41" s="12">
        <f t="shared" si="5"/>
        <v>3813740.20224777</v>
      </c>
    </row>
    <row r="42" spans="1:11" x14ac:dyDescent="0.25">
      <c r="A42" s="41" t="s">
        <v>31</v>
      </c>
      <c r="B42" s="219">
        <v>25440.37</v>
      </c>
      <c r="C42" s="236">
        <v>13001.24</v>
      </c>
      <c r="D42" s="14">
        <f t="shared" si="0"/>
        <v>0.51104759875740802</v>
      </c>
      <c r="E42" s="13">
        <v>6296.6</v>
      </c>
      <c r="F42" s="8">
        <f t="shared" si="1"/>
        <v>3217.8623103358955</v>
      </c>
      <c r="G42" s="7">
        <f t="shared" si="2"/>
        <v>195.02195820217548</v>
      </c>
      <c r="H42" s="8">
        <f t="shared" si="3"/>
        <v>3078.7376896641049</v>
      </c>
      <c r="I42" s="7">
        <f t="shared" si="4"/>
        <v>143.19710184484208</v>
      </c>
      <c r="J42" s="8">
        <f t="shared" si="6"/>
        <v>338.21906004701759</v>
      </c>
      <c r="K42" s="12">
        <f t="shared" si="5"/>
        <v>21640609.555636987</v>
      </c>
    </row>
    <row r="43" spans="1:11" x14ac:dyDescent="0.25">
      <c r="A43" s="41" t="s">
        <v>32</v>
      </c>
      <c r="B43" s="219">
        <v>2145.29</v>
      </c>
      <c r="C43" s="236">
        <v>1651.18</v>
      </c>
      <c r="D43" s="14">
        <f t="shared" si="0"/>
        <v>0.76967682690918249</v>
      </c>
      <c r="E43" s="13">
        <v>551.03</v>
      </c>
      <c r="F43" s="8">
        <f t="shared" si="1"/>
        <v>424.11502193176682</v>
      </c>
      <c r="G43" s="7">
        <f t="shared" si="2"/>
        <v>25.703940723137382</v>
      </c>
      <c r="H43" s="8">
        <f t="shared" si="3"/>
        <v>126.91497806823315</v>
      </c>
      <c r="I43" s="7">
        <f t="shared" si="4"/>
        <v>5.9030222357317745</v>
      </c>
      <c r="J43" s="8">
        <f t="shared" si="6"/>
        <v>31.606962958869158</v>
      </c>
      <c r="K43" s="12">
        <f t="shared" si="5"/>
        <v>2022340.0317453507</v>
      </c>
    </row>
    <row r="44" spans="1:11" x14ac:dyDescent="0.25">
      <c r="A44" s="41" t="s">
        <v>33</v>
      </c>
      <c r="B44" s="219">
        <v>3224.83</v>
      </c>
      <c r="C44" s="236">
        <v>2075.11</v>
      </c>
      <c r="D44" s="14">
        <f t="shared" si="0"/>
        <v>0.64347888105729611</v>
      </c>
      <c r="E44" s="13">
        <v>832.77</v>
      </c>
      <c r="F44" s="8">
        <f t="shared" si="1"/>
        <v>535.86990777808444</v>
      </c>
      <c r="G44" s="7">
        <f t="shared" si="2"/>
        <v>32.47696410776269</v>
      </c>
      <c r="H44" s="8">
        <f t="shared" si="3"/>
        <v>296.90009222191554</v>
      </c>
      <c r="I44" s="7">
        <f t="shared" si="4"/>
        <v>13.809306614972815</v>
      </c>
      <c r="J44" s="8">
        <f t="shared" si="6"/>
        <v>46.286270722735509</v>
      </c>
      <c r="K44" s="12">
        <f t="shared" si="5"/>
        <v>2961580.9125540834</v>
      </c>
    </row>
    <row r="45" spans="1:11" x14ac:dyDescent="0.25">
      <c r="A45" s="41" t="s">
        <v>34</v>
      </c>
      <c r="B45" s="219">
        <v>2373.3200000000002</v>
      </c>
      <c r="C45" s="236">
        <v>2070.19</v>
      </c>
      <c r="D45" s="14">
        <f t="shared" si="0"/>
        <v>0.87227596784251593</v>
      </c>
      <c r="E45" s="13">
        <v>532.74</v>
      </c>
      <c r="F45" s="8">
        <f t="shared" si="1"/>
        <v>464.69629910842195</v>
      </c>
      <c r="G45" s="7">
        <f t="shared" si="2"/>
        <v>28.163412067177088</v>
      </c>
      <c r="H45" s="8">
        <f t="shared" si="3"/>
        <v>68.043700891578055</v>
      </c>
      <c r="I45" s="7">
        <f t="shared" si="4"/>
        <v>3.1648232972827004</v>
      </c>
      <c r="J45" s="8">
        <f t="shared" si="6"/>
        <v>31.32823536445979</v>
      </c>
      <c r="K45" s="12">
        <f t="shared" si="5"/>
        <v>2004505.9243412423</v>
      </c>
    </row>
    <row r="46" spans="1:11" x14ac:dyDescent="0.25">
      <c r="A46" s="41" t="s">
        <v>35</v>
      </c>
      <c r="B46" s="219">
        <v>15667.43</v>
      </c>
      <c r="C46" s="236">
        <v>10603.64</v>
      </c>
      <c r="D46" s="14">
        <f t="shared" si="0"/>
        <v>0.67679510934467235</v>
      </c>
      <c r="E46" s="13">
        <v>3778.4700000000003</v>
      </c>
      <c r="F46" s="8">
        <f t="shared" si="1"/>
        <v>2557.2500168055644</v>
      </c>
      <c r="G46" s="7">
        <f t="shared" si="2"/>
        <v>154.98484950336754</v>
      </c>
      <c r="H46" s="8">
        <f t="shared" si="3"/>
        <v>1221.2199831944358</v>
      </c>
      <c r="I46" s="7">
        <f t="shared" si="4"/>
        <v>56.800929450903993</v>
      </c>
      <c r="J46" s="8">
        <f t="shared" si="6"/>
        <v>211.78577895427154</v>
      </c>
      <c r="K46" s="12">
        <f t="shared" si="5"/>
        <v>13550902.043038914</v>
      </c>
    </row>
    <row r="47" spans="1:11" x14ac:dyDescent="0.25">
      <c r="A47" s="41" t="s">
        <v>36</v>
      </c>
      <c r="B47" s="219">
        <v>1091.3900000000001</v>
      </c>
      <c r="C47" s="236">
        <v>772.62</v>
      </c>
      <c r="D47" s="14">
        <f t="shared" ref="D47:D78" si="7">C47/B47</f>
        <v>0.70792292397767975</v>
      </c>
      <c r="E47" s="13">
        <v>264.68</v>
      </c>
      <c r="F47" s="8">
        <f t="shared" ref="F47:F78" si="8">E47*D47</f>
        <v>187.37303951841227</v>
      </c>
      <c r="G47" s="7">
        <f t="shared" ref="G47:G78" si="9">(F47/$F$4)</f>
        <v>11.355941788994683</v>
      </c>
      <c r="H47" s="8">
        <f t="shared" ref="H47:H78" si="10">E47-F47</f>
        <v>77.306960481587737</v>
      </c>
      <c r="I47" s="7">
        <f t="shared" ref="I47:I78" si="11">(H47/$F$5)</f>
        <v>3.5956725805389644</v>
      </c>
      <c r="J47" s="8">
        <f t="shared" ref="J47:J78" si="12">G47+I47</f>
        <v>14.951614369533647</v>
      </c>
      <c r="K47" s="12">
        <f t="shared" ref="K47:K78" si="13">J47*$B$7</f>
        <v>956664.14764605253</v>
      </c>
    </row>
    <row r="48" spans="1:11" x14ac:dyDescent="0.25">
      <c r="A48" s="41" t="s">
        <v>37</v>
      </c>
      <c r="B48" s="219">
        <v>3269.06</v>
      </c>
      <c r="C48" s="236">
        <v>2915.7</v>
      </c>
      <c r="D48" s="14">
        <f t="shared" si="7"/>
        <v>0.89190776553504669</v>
      </c>
      <c r="E48" s="13">
        <v>887.93000000000006</v>
      </c>
      <c r="F48" s="8">
        <f t="shared" si="8"/>
        <v>791.95166225153412</v>
      </c>
      <c r="G48" s="7">
        <f t="shared" si="9"/>
        <v>47.997070439486919</v>
      </c>
      <c r="H48" s="8">
        <f t="shared" si="10"/>
        <v>95.978337748465947</v>
      </c>
      <c r="I48" s="7">
        <f t="shared" si="11"/>
        <v>4.4641087324867881</v>
      </c>
      <c r="J48" s="8">
        <f t="shared" si="12"/>
        <v>52.461179171973704</v>
      </c>
      <c r="K48" s="12">
        <f t="shared" si="13"/>
        <v>3356676.2769998102</v>
      </c>
    </row>
    <row r="49" spans="1:11" x14ac:dyDescent="0.25">
      <c r="A49" s="41" t="s">
        <v>38</v>
      </c>
      <c r="B49" s="219">
        <v>656.05</v>
      </c>
      <c r="C49" s="236">
        <v>619.41</v>
      </c>
      <c r="D49" s="14">
        <f t="shared" si="7"/>
        <v>0.94415059827757031</v>
      </c>
      <c r="E49" s="13">
        <v>177.12</v>
      </c>
      <c r="F49" s="8">
        <f t="shared" si="8"/>
        <v>167.22795396692325</v>
      </c>
      <c r="G49" s="7">
        <f t="shared" si="9"/>
        <v>10.135027513146865</v>
      </c>
      <c r="H49" s="8">
        <f t="shared" si="10"/>
        <v>9.8920460330767526</v>
      </c>
      <c r="I49" s="7">
        <f t="shared" si="11"/>
        <v>0.46009516432915126</v>
      </c>
      <c r="J49" s="8">
        <f t="shared" si="12"/>
        <v>10.595122677476017</v>
      </c>
      <c r="K49" s="12">
        <f t="shared" si="13"/>
        <v>677918.36753806705</v>
      </c>
    </row>
    <row r="50" spans="1:11" x14ac:dyDescent="0.25">
      <c r="A50" s="41" t="s">
        <v>39</v>
      </c>
      <c r="B50" s="219">
        <v>1181.8699999999999</v>
      </c>
      <c r="C50" s="236">
        <v>827.32</v>
      </c>
      <c r="D50" s="14">
        <f t="shared" si="7"/>
        <v>0.70000930728421917</v>
      </c>
      <c r="E50" s="13">
        <v>300.44</v>
      </c>
      <c r="F50" s="8">
        <f t="shared" si="8"/>
        <v>210.31079628047081</v>
      </c>
      <c r="G50" s="7">
        <f t="shared" si="9"/>
        <v>12.74610886548308</v>
      </c>
      <c r="H50" s="8">
        <f t="shared" si="10"/>
        <v>90.129203719529187</v>
      </c>
      <c r="I50" s="7">
        <f t="shared" si="11"/>
        <v>4.1920559869548457</v>
      </c>
      <c r="J50" s="8">
        <f t="shared" si="12"/>
        <v>16.938164852437925</v>
      </c>
      <c r="K50" s="12">
        <f t="shared" si="13"/>
        <v>1083771.6008957815</v>
      </c>
    </row>
    <row r="51" spans="1:11" x14ac:dyDescent="0.25">
      <c r="A51" s="41" t="s">
        <v>40</v>
      </c>
      <c r="B51" s="219">
        <v>8929.7900000000009</v>
      </c>
      <c r="C51" s="236">
        <v>6097.28</v>
      </c>
      <c r="D51" s="14">
        <f t="shared" si="7"/>
        <v>0.68280217115968</v>
      </c>
      <c r="E51" s="13">
        <v>2163.4</v>
      </c>
      <c r="F51" s="8">
        <f t="shared" si="8"/>
        <v>1477.1742170868517</v>
      </c>
      <c r="G51" s="7">
        <f t="shared" si="9"/>
        <v>89.525710126475857</v>
      </c>
      <c r="H51" s="8">
        <f t="shared" si="10"/>
        <v>686.22578291314835</v>
      </c>
      <c r="I51" s="7">
        <f t="shared" si="11"/>
        <v>31.917478275030156</v>
      </c>
      <c r="J51" s="8">
        <f t="shared" si="12"/>
        <v>121.44318840150601</v>
      </c>
      <c r="K51" s="12">
        <f t="shared" si="13"/>
        <v>7770421.403877438</v>
      </c>
    </row>
    <row r="52" spans="1:11" x14ac:dyDescent="0.25">
      <c r="A52" s="41" t="s">
        <v>41</v>
      </c>
      <c r="B52" s="219">
        <v>74161.66</v>
      </c>
      <c r="C52" s="236">
        <v>40174.94</v>
      </c>
      <c r="D52" s="14">
        <f t="shared" si="7"/>
        <v>0.54172115349090078</v>
      </c>
      <c r="E52" s="13">
        <v>18616.239999999998</v>
      </c>
      <c r="F52" s="8">
        <f t="shared" si="8"/>
        <v>10084.811006463446</v>
      </c>
      <c r="G52" s="7">
        <f t="shared" si="9"/>
        <v>611.20066705839065</v>
      </c>
      <c r="H52" s="8">
        <f t="shared" si="10"/>
        <v>8531.4289935365523</v>
      </c>
      <c r="I52" s="7">
        <f t="shared" si="11"/>
        <v>396.81065086216523</v>
      </c>
      <c r="J52" s="8">
        <f t="shared" si="12"/>
        <v>1008.0113179205559</v>
      </c>
      <c r="K52" s="12">
        <f t="shared" si="13"/>
        <v>64496599.794669591</v>
      </c>
    </row>
    <row r="53" spans="1:11" x14ac:dyDescent="0.25">
      <c r="A53" s="41" t="s">
        <v>42</v>
      </c>
      <c r="B53" s="219">
        <v>8515.0300000000007</v>
      </c>
      <c r="C53" s="236">
        <v>6247.89</v>
      </c>
      <c r="D53" s="14">
        <f t="shared" si="7"/>
        <v>0.73374844245997961</v>
      </c>
      <c r="E53" s="13">
        <v>2241.71</v>
      </c>
      <c r="F53" s="8">
        <f t="shared" si="8"/>
        <v>1644.8512209469609</v>
      </c>
      <c r="G53" s="7">
        <f t="shared" si="9"/>
        <v>99.68795278466429</v>
      </c>
      <c r="H53" s="8">
        <f t="shared" si="10"/>
        <v>596.85877905303914</v>
      </c>
      <c r="I53" s="7">
        <f t="shared" si="11"/>
        <v>27.760873444327402</v>
      </c>
      <c r="J53" s="8">
        <f t="shared" si="12"/>
        <v>127.44882622899169</v>
      </c>
      <c r="K53" s="12">
        <f t="shared" si="13"/>
        <v>8154686.1562515786</v>
      </c>
    </row>
    <row r="54" spans="1:11" x14ac:dyDescent="0.25">
      <c r="A54" s="41" t="s">
        <v>43</v>
      </c>
      <c r="B54" s="219">
        <v>898.58</v>
      </c>
      <c r="C54" s="236">
        <v>677.73</v>
      </c>
      <c r="D54" s="14">
        <f t="shared" si="7"/>
        <v>0.75422333014311471</v>
      </c>
      <c r="E54" s="13">
        <v>233.22</v>
      </c>
      <c r="F54" s="8">
        <f t="shared" si="8"/>
        <v>175.89996505597722</v>
      </c>
      <c r="G54" s="7">
        <f t="shared" si="9"/>
        <v>10.660603942786498</v>
      </c>
      <c r="H54" s="8">
        <f t="shared" si="10"/>
        <v>57.32003494402278</v>
      </c>
      <c r="I54" s="7">
        <f t="shared" si="11"/>
        <v>2.6660481369312921</v>
      </c>
      <c r="J54" s="8">
        <f t="shared" si="12"/>
        <v>13.326652079717789</v>
      </c>
      <c r="K54" s="12">
        <f t="shared" si="13"/>
        <v>852692.5546446105</v>
      </c>
    </row>
    <row r="55" spans="1:11" x14ac:dyDescent="0.25">
      <c r="A55" s="41" t="s">
        <v>44</v>
      </c>
      <c r="B55" s="219">
        <v>1516.32</v>
      </c>
      <c r="C55" s="236">
        <v>927.29</v>
      </c>
      <c r="D55" s="14">
        <f t="shared" si="7"/>
        <v>0.61153978052126201</v>
      </c>
      <c r="E55" s="13">
        <v>379.39</v>
      </c>
      <c r="F55" s="8">
        <f t="shared" si="8"/>
        <v>232.01207733196159</v>
      </c>
      <c r="G55" s="7">
        <f t="shared" si="9"/>
        <v>14.061338020118884</v>
      </c>
      <c r="H55" s="8">
        <f t="shared" si="10"/>
        <v>147.37792266803839</v>
      </c>
      <c r="I55" s="7">
        <f t="shared" si="11"/>
        <v>6.8547871008389949</v>
      </c>
      <c r="J55" s="8">
        <f t="shared" si="12"/>
        <v>20.916125120957879</v>
      </c>
      <c r="K55" s="12">
        <f t="shared" si="13"/>
        <v>1338297.4250374194</v>
      </c>
    </row>
    <row r="56" spans="1:11" x14ac:dyDescent="0.25">
      <c r="A56" s="41" t="s">
        <v>45</v>
      </c>
      <c r="B56" s="219">
        <v>2087.65</v>
      </c>
      <c r="C56" s="236">
        <v>1641.59</v>
      </c>
      <c r="D56" s="14">
        <f t="shared" si="7"/>
        <v>0.78633391612578729</v>
      </c>
      <c r="E56" s="13">
        <v>504.06</v>
      </c>
      <c r="F56" s="8">
        <f t="shared" si="8"/>
        <v>396.35947376236436</v>
      </c>
      <c r="G56" s="7">
        <f t="shared" si="9"/>
        <v>24.021786288628142</v>
      </c>
      <c r="H56" s="8">
        <f t="shared" si="10"/>
        <v>107.70052623763564</v>
      </c>
      <c r="I56" s="7">
        <f t="shared" si="11"/>
        <v>5.0093268017504951</v>
      </c>
      <c r="J56" s="8">
        <f t="shared" si="12"/>
        <v>29.031113090378639</v>
      </c>
      <c r="K56" s="12">
        <f t="shared" si="13"/>
        <v>1857526.844486794</v>
      </c>
    </row>
    <row r="57" spans="1:11" x14ac:dyDescent="0.25">
      <c r="A57" s="41" t="s">
        <v>46</v>
      </c>
      <c r="B57" s="219">
        <v>662.1</v>
      </c>
      <c r="C57" s="236">
        <v>607.41</v>
      </c>
      <c r="D57" s="14">
        <f t="shared" si="7"/>
        <v>0.91739918441323054</v>
      </c>
      <c r="E57" s="13">
        <v>172.26999999999998</v>
      </c>
      <c r="F57" s="8">
        <f t="shared" si="8"/>
        <v>158.04035749886719</v>
      </c>
      <c r="G57" s="7">
        <f t="shared" si="9"/>
        <v>9.5782034847798307</v>
      </c>
      <c r="H57" s="8">
        <f t="shared" si="10"/>
        <v>14.229642501132787</v>
      </c>
      <c r="I57" s="7">
        <f t="shared" si="11"/>
        <v>0.66184383726199014</v>
      </c>
      <c r="J57" s="8">
        <f t="shared" si="12"/>
        <v>10.240047322041821</v>
      </c>
      <c r="K57" s="12">
        <f t="shared" si="13"/>
        <v>655199.22471769422</v>
      </c>
    </row>
    <row r="58" spans="1:11" x14ac:dyDescent="0.25">
      <c r="A58" s="41" t="s">
        <v>47</v>
      </c>
      <c r="B58" s="219">
        <v>43529.94</v>
      </c>
      <c r="C58" s="236">
        <v>28552.12</v>
      </c>
      <c r="D58" s="14">
        <f t="shared" si="7"/>
        <v>0.65591912141390496</v>
      </c>
      <c r="E58" s="13">
        <v>10836.94</v>
      </c>
      <c r="F58" s="8">
        <f t="shared" si="8"/>
        <v>7108.1561636152037</v>
      </c>
      <c r="G58" s="7">
        <f t="shared" si="9"/>
        <v>430.79734324940631</v>
      </c>
      <c r="H58" s="8">
        <f t="shared" si="10"/>
        <v>3728.7838363847968</v>
      </c>
      <c r="I58" s="7">
        <f t="shared" si="11"/>
        <v>173.43180634347891</v>
      </c>
      <c r="J58" s="8">
        <f t="shared" si="12"/>
        <v>604.22914959288528</v>
      </c>
      <c r="K58" s="12">
        <f t="shared" si="13"/>
        <v>38661000.082776107</v>
      </c>
    </row>
    <row r="59" spans="1:11" x14ac:dyDescent="0.25">
      <c r="A59" s="41" t="s">
        <v>48</v>
      </c>
      <c r="B59" s="219">
        <v>2404.8000000000002</v>
      </c>
      <c r="C59" s="236">
        <v>2167.39</v>
      </c>
      <c r="D59" s="14">
        <f t="shared" si="7"/>
        <v>0.90127661343978693</v>
      </c>
      <c r="E59" s="13">
        <v>583.84</v>
      </c>
      <c r="F59" s="8">
        <f t="shared" si="8"/>
        <v>526.20133799068526</v>
      </c>
      <c r="G59" s="7">
        <f t="shared" si="9"/>
        <v>31.890990181253652</v>
      </c>
      <c r="H59" s="8">
        <f t="shared" si="10"/>
        <v>57.638662009314771</v>
      </c>
      <c r="I59" s="7">
        <f t="shared" si="11"/>
        <v>2.6808680004332452</v>
      </c>
      <c r="J59" s="8">
        <f t="shared" si="12"/>
        <v>34.571858181686899</v>
      </c>
      <c r="K59" s="12">
        <f t="shared" si="13"/>
        <v>2212045.8983557438</v>
      </c>
    </row>
    <row r="60" spans="1:11" x14ac:dyDescent="0.25">
      <c r="A60" s="41" t="s">
        <v>49</v>
      </c>
      <c r="B60" s="219">
        <v>10525.82</v>
      </c>
      <c r="C60" s="236">
        <v>6404.09</v>
      </c>
      <c r="D60" s="14">
        <f t="shared" si="7"/>
        <v>0.60841720645042385</v>
      </c>
      <c r="E60" s="13">
        <v>2679.09</v>
      </c>
      <c r="F60" s="8">
        <f t="shared" si="8"/>
        <v>1630.0044536292662</v>
      </c>
      <c r="G60" s="7">
        <f t="shared" si="9"/>
        <v>98.788148704804016</v>
      </c>
      <c r="H60" s="8">
        <f t="shared" si="10"/>
        <v>1049.0855463707339</v>
      </c>
      <c r="I60" s="7">
        <f t="shared" si="11"/>
        <v>48.794676575382972</v>
      </c>
      <c r="J60" s="8">
        <f t="shared" si="12"/>
        <v>147.582825280187</v>
      </c>
      <c r="K60" s="12">
        <f t="shared" si="13"/>
        <v>9442940.0240256544</v>
      </c>
    </row>
    <row r="61" spans="1:11" x14ac:dyDescent="0.25">
      <c r="A61" s="41" t="s">
        <v>50</v>
      </c>
      <c r="B61" s="219">
        <v>13258.42</v>
      </c>
      <c r="C61" s="236">
        <v>7286.27</v>
      </c>
      <c r="D61" s="14">
        <f t="shared" si="7"/>
        <v>0.54955794129315561</v>
      </c>
      <c r="E61" s="13">
        <v>3314.22</v>
      </c>
      <c r="F61" s="8">
        <f t="shared" si="8"/>
        <v>1821.3559201926021</v>
      </c>
      <c r="G61" s="7">
        <f t="shared" si="9"/>
        <v>110.38520728440012</v>
      </c>
      <c r="H61" s="8">
        <f t="shared" si="10"/>
        <v>1492.8640798073977</v>
      </c>
      <c r="I61" s="7">
        <f t="shared" si="11"/>
        <v>69.435538595692918</v>
      </c>
      <c r="J61" s="8">
        <f t="shared" si="12"/>
        <v>179.82074588009306</v>
      </c>
      <c r="K61" s="12">
        <f t="shared" si="13"/>
        <v>11505651.25174656</v>
      </c>
    </row>
    <row r="62" spans="1:11" x14ac:dyDescent="0.25">
      <c r="A62" s="41" t="s">
        <v>51</v>
      </c>
      <c r="B62" s="219">
        <v>5388.16</v>
      </c>
      <c r="C62" s="236">
        <v>4016.61</v>
      </c>
      <c r="D62" s="14">
        <f t="shared" si="7"/>
        <v>0.74545113730846901</v>
      </c>
      <c r="E62" s="13">
        <v>1416.81</v>
      </c>
      <c r="F62" s="8">
        <f t="shared" si="8"/>
        <v>1056.1626258500119</v>
      </c>
      <c r="G62" s="7">
        <f t="shared" si="9"/>
        <v>64.009856112121938</v>
      </c>
      <c r="H62" s="8">
        <f t="shared" si="10"/>
        <v>360.64737414998808</v>
      </c>
      <c r="I62" s="7">
        <f t="shared" si="11"/>
        <v>16.77429647209247</v>
      </c>
      <c r="J62" s="8">
        <f t="shared" si="12"/>
        <v>80.784152584214411</v>
      </c>
      <c r="K62" s="12">
        <f t="shared" si="13"/>
        <v>5168893.5097713238</v>
      </c>
    </row>
    <row r="63" spans="1:11" x14ac:dyDescent="0.25">
      <c r="A63" s="41" t="s">
        <v>52</v>
      </c>
      <c r="B63" s="219">
        <v>2979.52</v>
      </c>
      <c r="C63" s="236">
        <v>2390.0300000000002</v>
      </c>
      <c r="D63" s="14">
        <f t="shared" si="7"/>
        <v>0.80215269573622605</v>
      </c>
      <c r="E63" s="13">
        <v>691.3</v>
      </c>
      <c r="F63" s="8">
        <f t="shared" si="8"/>
        <v>554.52815856245309</v>
      </c>
      <c r="G63" s="7">
        <f t="shared" si="9"/>
        <v>33.607767185603215</v>
      </c>
      <c r="H63" s="8">
        <f t="shared" si="10"/>
        <v>136.77184143754687</v>
      </c>
      <c r="I63" s="7">
        <f t="shared" si="11"/>
        <v>6.3614809970952031</v>
      </c>
      <c r="J63" s="8">
        <f t="shared" si="12"/>
        <v>39.969248182698422</v>
      </c>
      <c r="K63" s="12">
        <f t="shared" si="13"/>
        <v>2557392.519611069</v>
      </c>
    </row>
    <row r="64" spans="1:11" x14ac:dyDescent="0.25">
      <c r="A64" s="41" t="s">
        <v>53</v>
      </c>
      <c r="B64" s="219">
        <v>1729.85</v>
      </c>
      <c r="C64" s="236">
        <v>1597.53</v>
      </c>
      <c r="D64" s="14">
        <f t="shared" si="7"/>
        <v>0.92350781859698816</v>
      </c>
      <c r="E64" s="13">
        <v>402.65999999999997</v>
      </c>
      <c r="F64" s="8">
        <f t="shared" si="8"/>
        <v>371.85965823626321</v>
      </c>
      <c r="G64" s="7">
        <f t="shared" si="9"/>
        <v>22.536948984015954</v>
      </c>
      <c r="H64" s="8">
        <f t="shared" si="10"/>
        <v>30.800341763736753</v>
      </c>
      <c r="I64" s="7">
        <f t="shared" si="11"/>
        <v>1.4325740355226397</v>
      </c>
      <c r="J64" s="8">
        <f t="shared" si="12"/>
        <v>23.969523019538592</v>
      </c>
      <c r="K64" s="12">
        <f t="shared" si="13"/>
        <v>1533666.04717244</v>
      </c>
    </row>
    <row r="65" spans="1:11" x14ac:dyDescent="0.25">
      <c r="A65" s="41" t="s">
        <v>54</v>
      </c>
      <c r="B65" s="219">
        <v>25998.85</v>
      </c>
      <c r="C65" s="236">
        <v>11560.42</v>
      </c>
      <c r="D65" s="14">
        <f t="shared" si="7"/>
        <v>0.44465120572640715</v>
      </c>
      <c r="E65" s="13">
        <v>6293.2</v>
      </c>
      <c r="F65" s="8">
        <f t="shared" si="8"/>
        <v>2798.2789678774252</v>
      </c>
      <c r="G65" s="7">
        <f t="shared" si="9"/>
        <v>169.59266471984395</v>
      </c>
      <c r="H65" s="8">
        <f t="shared" si="10"/>
        <v>3494.9210321225746</v>
      </c>
      <c r="I65" s="7">
        <f t="shared" si="11"/>
        <v>162.55446661035231</v>
      </c>
      <c r="J65" s="8">
        <f t="shared" si="12"/>
        <v>332.14713133019626</v>
      </c>
      <c r="K65" s="12">
        <f t="shared" si="13"/>
        <v>21252103.246760949</v>
      </c>
    </row>
    <row r="66" spans="1:11" x14ac:dyDescent="0.25">
      <c r="A66" s="41" t="s">
        <v>55</v>
      </c>
      <c r="B66" s="219">
        <v>8632.56</v>
      </c>
      <c r="C66" s="236">
        <v>6583.08</v>
      </c>
      <c r="D66" s="14">
        <f t="shared" si="7"/>
        <v>0.76258722789068367</v>
      </c>
      <c r="E66" s="13">
        <v>2248.63</v>
      </c>
      <c r="F66" s="8">
        <f t="shared" si="8"/>
        <v>1714.7765182518281</v>
      </c>
      <c r="G66" s="7">
        <f t="shared" si="9"/>
        <v>103.92584959101988</v>
      </c>
      <c r="H66" s="8">
        <f t="shared" si="10"/>
        <v>533.85348174817204</v>
      </c>
      <c r="I66" s="7">
        <f t="shared" si="11"/>
        <v>24.830394499914977</v>
      </c>
      <c r="J66" s="8">
        <f t="shared" si="12"/>
        <v>128.75624409093487</v>
      </c>
      <c r="K66" s="12">
        <f t="shared" si="13"/>
        <v>8238339.9854368549</v>
      </c>
    </row>
    <row r="67" spans="1:11" x14ac:dyDescent="0.25">
      <c r="A67" s="41" t="s">
        <v>56</v>
      </c>
      <c r="B67" s="219">
        <v>1939.18</v>
      </c>
      <c r="C67" s="236">
        <v>1384.39</v>
      </c>
      <c r="D67" s="14">
        <f t="shared" si="7"/>
        <v>0.71390484637836615</v>
      </c>
      <c r="E67" s="13">
        <v>486.06</v>
      </c>
      <c r="F67" s="8">
        <f t="shared" si="8"/>
        <v>347.00058963066863</v>
      </c>
      <c r="G67" s="7">
        <f t="shared" si="9"/>
        <v>21.030338765495067</v>
      </c>
      <c r="H67" s="8">
        <f t="shared" si="10"/>
        <v>139.05941036933137</v>
      </c>
      <c r="I67" s="7">
        <f t="shared" si="11"/>
        <v>6.4678795520619241</v>
      </c>
      <c r="J67" s="8">
        <f t="shared" si="12"/>
        <v>27.49821831755699</v>
      </c>
      <c r="K67" s="12">
        <f t="shared" si="13"/>
        <v>1759446.0998241522</v>
      </c>
    </row>
    <row r="68" spans="1:11" x14ac:dyDescent="0.25">
      <c r="A68" s="41" t="s">
        <v>57</v>
      </c>
      <c r="B68" s="219">
        <v>3124.12</v>
      </c>
      <c r="C68" s="236">
        <v>2504.67</v>
      </c>
      <c r="D68" s="14">
        <f t="shared" si="7"/>
        <v>0.80172016439829463</v>
      </c>
      <c r="E68" s="13">
        <v>767.54</v>
      </c>
      <c r="F68" s="8">
        <f t="shared" si="8"/>
        <v>615.35229498226704</v>
      </c>
      <c r="G68" s="7">
        <f t="shared" si="9"/>
        <v>37.29407848377376</v>
      </c>
      <c r="H68" s="8">
        <f t="shared" si="10"/>
        <v>152.18770501773292</v>
      </c>
      <c r="I68" s="7">
        <f t="shared" si="11"/>
        <v>7.0784979078015313</v>
      </c>
      <c r="J68" s="8">
        <f t="shared" si="12"/>
        <v>44.372576391575294</v>
      </c>
      <c r="K68" s="12">
        <f t="shared" si="13"/>
        <v>2839135.0875798282</v>
      </c>
    </row>
    <row r="69" spans="1:11" x14ac:dyDescent="0.25">
      <c r="A69" s="41" t="s">
        <v>58</v>
      </c>
      <c r="B69" s="219">
        <v>16899.259999999998</v>
      </c>
      <c r="C69" s="236">
        <v>7185.6</v>
      </c>
      <c r="D69" s="14">
        <f t="shared" si="7"/>
        <v>0.42520205026728985</v>
      </c>
      <c r="E69" s="13">
        <v>3952.96</v>
      </c>
      <c r="F69" s="8">
        <f t="shared" si="8"/>
        <v>1680.806696624586</v>
      </c>
      <c r="G69" s="7">
        <f t="shared" si="9"/>
        <v>101.86707252270219</v>
      </c>
      <c r="H69" s="8">
        <f t="shared" si="10"/>
        <v>2272.153303375414</v>
      </c>
      <c r="I69" s="7">
        <f t="shared" si="11"/>
        <v>105.6815489942053</v>
      </c>
      <c r="J69" s="8">
        <f t="shared" si="12"/>
        <v>207.54862151690747</v>
      </c>
      <c r="K69" s="12">
        <f t="shared" si="13"/>
        <v>13279791.746312844</v>
      </c>
    </row>
    <row r="70" spans="1:11" x14ac:dyDescent="0.25">
      <c r="A70" s="41" t="s">
        <v>59</v>
      </c>
      <c r="B70" s="219">
        <v>4230.8599999999997</v>
      </c>
      <c r="C70" s="236">
        <v>3894.1</v>
      </c>
      <c r="D70" s="14">
        <f t="shared" si="7"/>
        <v>0.92040388951655228</v>
      </c>
      <c r="E70" s="13">
        <v>1055.6399999999999</v>
      </c>
      <c r="F70" s="8">
        <f t="shared" si="8"/>
        <v>971.61516192925308</v>
      </c>
      <c r="G70" s="7">
        <f t="shared" si="9"/>
        <v>58.885767389651704</v>
      </c>
      <c r="H70" s="8">
        <f t="shared" si="10"/>
        <v>84.024838070746796</v>
      </c>
      <c r="I70" s="7">
        <f t="shared" si="11"/>
        <v>3.9081320032905484</v>
      </c>
      <c r="J70" s="8">
        <f t="shared" si="12"/>
        <v>62.793899392942251</v>
      </c>
      <c r="K70" s="12">
        <f t="shared" si="13"/>
        <v>4017805.0848160544</v>
      </c>
    </row>
    <row r="71" spans="1:11" x14ac:dyDescent="0.25">
      <c r="A71" s="41" t="s">
        <v>60</v>
      </c>
      <c r="B71" s="219">
        <v>3684.37</v>
      </c>
      <c r="C71" s="236">
        <v>3216.9</v>
      </c>
      <c r="D71" s="14">
        <f t="shared" si="7"/>
        <v>0.87312077777204788</v>
      </c>
      <c r="E71" s="13">
        <v>1013.8399999999999</v>
      </c>
      <c r="F71" s="8">
        <f t="shared" si="8"/>
        <v>885.20476933641294</v>
      </c>
      <c r="G71" s="7">
        <f t="shared" si="9"/>
        <v>53.64877389917654</v>
      </c>
      <c r="H71" s="8">
        <f t="shared" si="10"/>
        <v>128.63523066358698</v>
      </c>
      <c r="I71" s="7">
        <f t="shared" si="11"/>
        <v>5.9830339843528826</v>
      </c>
      <c r="J71" s="8">
        <f t="shared" si="12"/>
        <v>59.631807883529419</v>
      </c>
      <c r="K71" s="12">
        <f t="shared" si="13"/>
        <v>3815481.8102942547</v>
      </c>
    </row>
    <row r="72" spans="1:11" x14ac:dyDescent="0.25">
      <c r="A72" s="41" t="s">
        <v>61</v>
      </c>
      <c r="B72" s="219">
        <v>665.85</v>
      </c>
      <c r="C72" s="236">
        <v>557.95000000000005</v>
      </c>
      <c r="D72" s="14">
        <f t="shared" si="7"/>
        <v>0.83795149057595564</v>
      </c>
      <c r="E72" s="13">
        <v>185.12</v>
      </c>
      <c r="F72" s="8">
        <f t="shared" si="8"/>
        <v>155.12157993542093</v>
      </c>
      <c r="G72" s="7">
        <f t="shared" si="9"/>
        <v>9.4013078748739947</v>
      </c>
      <c r="H72" s="8">
        <f t="shared" si="10"/>
        <v>29.998420064579079</v>
      </c>
      <c r="I72" s="7">
        <f t="shared" si="11"/>
        <v>1.3952753518408874</v>
      </c>
      <c r="J72" s="8">
        <f t="shared" si="12"/>
        <v>10.796583226714882</v>
      </c>
      <c r="K72" s="12">
        <f t="shared" si="13"/>
        <v>690808.62004582456</v>
      </c>
    </row>
    <row r="73" spans="1:11" x14ac:dyDescent="0.25">
      <c r="A73" s="41" t="s">
        <v>62</v>
      </c>
      <c r="B73" s="219">
        <v>5751.42</v>
      </c>
      <c r="C73" s="236">
        <v>4084.96</v>
      </c>
      <c r="D73" s="14">
        <f t="shared" si="7"/>
        <v>0.71025242461861593</v>
      </c>
      <c r="E73" s="13">
        <v>1388.2</v>
      </c>
      <c r="F73" s="8">
        <f t="shared" si="8"/>
        <v>985.97241585556264</v>
      </c>
      <c r="G73" s="7">
        <f t="shared" si="9"/>
        <v>59.755903991246221</v>
      </c>
      <c r="H73" s="8">
        <f t="shared" si="10"/>
        <v>402.2275841444374</v>
      </c>
      <c r="I73" s="7">
        <f t="shared" si="11"/>
        <v>18.708259727648251</v>
      </c>
      <c r="J73" s="8">
        <f t="shared" si="12"/>
        <v>78.464163718894469</v>
      </c>
      <c r="K73" s="12">
        <f t="shared" si="13"/>
        <v>5020451.3338607326</v>
      </c>
    </row>
    <row r="74" spans="1:11" x14ac:dyDescent="0.25">
      <c r="A74" s="41" t="s">
        <v>63</v>
      </c>
      <c r="B74" s="219">
        <v>10099.5</v>
      </c>
      <c r="C74" s="236">
        <v>6589.44</v>
      </c>
      <c r="D74" s="14">
        <f t="shared" si="7"/>
        <v>0.65245210158918754</v>
      </c>
      <c r="E74" s="13">
        <v>2406.16</v>
      </c>
      <c r="F74" s="8">
        <f t="shared" si="8"/>
        <v>1569.9041487598395</v>
      </c>
      <c r="G74" s="7">
        <f t="shared" si="9"/>
        <v>95.14570598544482</v>
      </c>
      <c r="H74" s="8">
        <f t="shared" si="10"/>
        <v>836.25585124016038</v>
      </c>
      <c r="I74" s="7">
        <f t="shared" si="11"/>
        <v>38.895620987914434</v>
      </c>
      <c r="J74" s="8">
        <f t="shared" si="12"/>
        <v>134.04132697335925</v>
      </c>
      <c r="K74" s="12">
        <f t="shared" si="13"/>
        <v>8576500.7476121951</v>
      </c>
    </row>
    <row r="75" spans="1:11" x14ac:dyDescent="0.25">
      <c r="A75" s="41" t="s">
        <v>64</v>
      </c>
      <c r="B75" s="219">
        <v>2483.25</v>
      </c>
      <c r="C75" s="236">
        <v>2250.21</v>
      </c>
      <c r="D75" s="14">
        <f t="shared" si="7"/>
        <v>0.9061552401087285</v>
      </c>
      <c r="E75" s="13">
        <v>622.97</v>
      </c>
      <c r="F75" s="8">
        <f t="shared" si="8"/>
        <v>564.50752993053459</v>
      </c>
      <c r="G75" s="7">
        <f t="shared" si="9"/>
        <v>34.212577571547548</v>
      </c>
      <c r="H75" s="8">
        <f t="shared" si="10"/>
        <v>58.462470069465439</v>
      </c>
      <c r="I75" s="7">
        <f t="shared" si="11"/>
        <v>2.7191846543937412</v>
      </c>
      <c r="J75" s="8">
        <f t="shared" si="12"/>
        <v>36.931762225941291</v>
      </c>
      <c r="K75" s="12">
        <f t="shared" si="13"/>
        <v>2363042.0072189714</v>
      </c>
    </row>
    <row r="76" spans="1:11" x14ac:dyDescent="0.25">
      <c r="A76" s="41" t="s">
        <v>65</v>
      </c>
      <c r="B76" s="219">
        <v>3390.2</v>
      </c>
      <c r="C76" s="236">
        <v>2686.84</v>
      </c>
      <c r="D76" s="14">
        <f t="shared" si="7"/>
        <v>0.7925314140758658</v>
      </c>
      <c r="E76" s="13">
        <v>903.67000000000007</v>
      </c>
      <c r="F76" s="8">
        <f t="shared" si="8"/>
        <v>716.18686295793771</v>
      </c>
      <c r="G76" s="7">
        <f t="shared" si="9"/>
        <v>43.405264421693197</v>
      </c>
      <c r="H76" s="8">
        <f t="shared" si="10"/>
        <v>187.48313704206237</v>
      </c>
      <c r="I76" s="7">
        <f t="shared" si="11"/>
        <v>8.7201459089331337</v>
      </c>
      <c r="J76" s="8">
        <f t="shared" si="12"/>
        <v>52.12541033062633</v>
      </c>
      <c r="K76" s="12">
        <f t="shared" si="13"/>
        <v>3335192.4422462722</v>
      </c>
    </row>
    <row r="77" spans="1:11" x14ac:dyDescent="0.25">
      <c r="A77" s="41" t="s">
        <v>66</v>
      </c>
      <c r="B77" s="219">
        <v>6118.74</v>
      </c>
      <c r="C77" s="236">
        <v>5379.45</v>
      </c>
      <c r="D77" s="14">
        <f t="shared" si="7"/>
        <v>0.87917610488433895</v>
      </c>
      <c r="E77" s="13">
        <v>1597.88</v>
      </c>
      <c r="F77" s="8">
        <f t="shared" si="8"/>
        <v>1404.8179144725875</v>
      </c>
      <c r="G77" s="7">
        <f t="shared" si="9"/>
        <v>85.140479665005302</v>
      </c>
      <c r="H77" s="8">
        <f t="shared" si="10"/>
        <v>193.06208552741259</v>
      </c>
      <c r="I77" s="7">
        <f t="shared" si="11"/>
        <v>8.9796318849959338</v>
      </c>
      <c r="J77" s="8">
        <f t="shared" si="12"/>
        <v>94.120111550001241</v>
      </c>
      <c r="K77" s="12">
        <f t="shared" si="13"/>
        <v>6022181.5562476804</v>
      </c>
    </row>
    <row r="78" spans="1:11" x14ac:dyDescent="0.25">
      <c r="A78" s="41" t="s">
        <v>67</v>
      </c>
      <c r="B78" s="219">
        <v>15618.17</v>
      </c>
      <c r="C78" s="236">
        <v>9318.2800000000007</v>
      </c>
      <c r="D78" s="14">
        <f t="shared" si="7"/>
        <v>0.59663071921998545</v>
      </c>
      <c r="E78" s="13">
        <v>3782.34</v>
      </c>
      <c r="F78" s="8">
        <f t="shared" si="8"/>
        <v>2256.66023453452</v>
      </c>
      <c r="G78" s="7">
        <f t="shared" si="9"/>
        <v>136.76728694148605</v>
      </c>
      <c r="H78" s="8">
        <f t="shared" si="10"/>
        <v>1525.6797654654802</v>
      </c>
      <c r="I78" s="7">
        <f t="shared" si="11"/>
        <v>70.961849556533963</v>
      </c>
      <c r="J78" s="8">
        <f t="shared" si="12"/>
        <v>207.72913649802001</v>
      </c>
      <c r="K78" s="12">
        <f t="shared" si="13"/>
        <v>13291341.817514203</v>
      </c>
    </row>
    <row r="79" spans="1:11" x14ac:dyDescent="0.25">
      <c r="A79" s="41" t="s">
        <v>68</v>
      </c>
      <c r="B79" s="219">
        <v>22502.1</v>
      </c>
      <c r="C79" s="236">
        <v>17146.64</v>
      </c>
      <c r="D79" s="14">
        <f t="shared" ref="D79:D96" si="14">C79/B79</f>
        <v>0.76200176872380798</v>
      </c>
      <c r="E79" s="13">
        <v>5703.56</v>
      </c>
      <c r="F79" s="8">
        <f t="shared" ref="F79:F95" si="15">E79*D79</f>
        <v>4346.1228080223627</v>
      </c>
      <c r="G79" s="7">
        <f t="shared" ref="G79:G95" si="16">(F79/$F$4)</f>
        <v>263.40138230438561</v>
      </c>
      <c r="H79" s="8">
        <f t="shared" ref="H79:H95" si="17">E79-F79</f>
        <v>1357.4371919776377</v>
      </c>
      <c r="I79" s="7">
        <f t="shared" ref="I79:I95" si="18">(H79/$F$5)</f>
        <v>63.136613580355238</v>
      </c>
      <c r="J79" s="8">
        <f t="shared" ref="J79:J95" si="19">G79+I79</f>
        <v>326.53799588474084</v>
      </c>
      <c r="K79" s="12">
        <f t="shared" ref="K79:K95" si="20">J79*$B$7</f>
        <v>20893208.304226041</v>
      </c>
    </row>
    <row r="80" spans="1:11" x14ac:dyDescent="0.25">
      <c r="A80" s="41" t="s">
        <v>69</v>
      </c>
      <c r="B80" s="219">
        <v>27586.57</v>
      </c>
      <c r="C80" s="236">
        <v>15039.74</v>
      </c>
      <c r="D80" s="14">
        <f t="shared" si="14"/>
        <v>0.54518339902351032</v>
      </c>
      <c r="E80" s="13">
        <v>6656.1399999999994</v>
      </c>
      <c r="F80" s="8">
        <f t="shared" si="15"/>
        <v>3628.8170295763475</v>
      </c>
      <c r="G80" s="7">
        <f t="shared" si="16"/>
        <v>219.92830482280894</v>
      </c>
      <c r="H80" s="8">
        <f t="shared" si="17"/>
        <v>3027.3229704236519</v>
      </c>
      <c r="I80" s="7">
        <f t="shared" si="18"/>
        <v>140.80571955458845</v>
      </c>
      <c r="J80" s="8">
        <f t="shared" si="19"/>
        <v>360.73402437739742</v>
      </c>
      <c r="K80" s="12">
        <f t="shared" si="20"/>
        <v>23081207.114405882</v>
      </c>
    </row>
    <row r="81" spans="1:12" x14ac:dyDescent="0.25">
      <c r="A81" s="41" t="s">
        <v>70</v>
      </c>
      <c r="B81" s="219">
        <v>2197.3200000000002</v>
      </c>
      <c r="C81" s="236">
        <v>1682.59</v>
      </c>
      <c r="D81" s="14">
        <f t="shared" si="14"/>
        <v>0.76574645477217695</v>
      </c>
      <c r="E81" s="13">
        <v>554.24</v>
      </c>
      <c r="F81" s="8">
        <f t="shared" si="15"/>
        <v>424.40731509293136</v>
      </c>
      <c r="G81" s="7">
        <f t="shared" si="16"/>
        <v>25.721655460177658</v>
      </c>
      <c r="H81" s="8">
        <f t="shared" si="17"/>
        <v>129.83268490706865</v>
      </c>
      <c r="I81" s="7">
        <f t="shared" si="18"/>
        <v>6.0387295305613327</v>
      </c>
      <c r="J81" s="8">
        <f t="shared" si="19"/>
        <v>31.760384990738991</v>
      </c>
      <c r="K81" s="12">
        <f t="shared" si="20"/>
        <v>2032156.5875848294</v>
      </c>
    </row>
    <row r="82" spans="1:12" x14ac:dyDescent="0.25">
      <c r="A82" s="41" t="s">
        <v>71</v>
      </c>
      <c r="B82" s="219">
        <v>4904.8</v>
      </c>
      <c r="C82" s="236">
        <v>2789.85</v>
      </c>
      <c r="D82" s="14">
        <f t="shared" si="14"/>
        <v>0.56879995106834114</v>
      </c>
      <c r="E82" s="13">
        <v>1184.8499999999999</v>
      </c>
      <c r="F82" s="8">
        <f t="shared" si="15"/>
        <v>673.94262202332391</v>
      </c>
      <c r="G82" s="7">
        <f t="shared" si="16"/>
        <v>40.845007395352965</v>
      </c>
      <c r="H82" s="8">
        <f t="shared" si="17"/>
        <v>510.907377976676</v>
      </c>
      <c r="I82" s="7">
        <f t="shared" si="18"/>
        <v>23.763133859380279</v>
      </c>
      <c r="J82" s="8">
        <f t="shared" si="19"/>
        <v>64.608141254733241</v>
      </c>
      <c r="K82" s="12">
        <f t="shared" si="20"/>
        <v>4133887.5426321598</v>
      </c>
    </row>
    <row r="83" spans="1:12" x14ac:dyDescent="0.25">
      <c r="A83" s="41" t="s">
        <v>72</v>
      </c>
      <c r="B83" s="219">
        <v>9921.15</v>
      </c>
      <c r="C83" s="236">
        <v>5800.34</v>
      </c>
      <c r="D83" s="14">
        <f t="shared" si="14"/>
        <v>0.58464391728781451</v>
      </c>
      <c r="E83" s="13">
        <v>2335.88</v>
      </c>
      <c r="F83" s="8">
        <f t="shared" si="15"/>
        <v>1365.6580335142603</v>
      </c>
      <c r="G83" s="7">
        <f t="shared" si="16"/>
        <v>82.767153546318809</v>
      </c>
      <c r="H83" s="8">
        <f t="shared" si="17"/>
        <v>970.22196648573981</v>
      </c>
      <c r="I83" s="7">
        <f t="shared" si="18"/>
        <v>45.126603092359993</v>
      </c>
      <c r="J83" s="8">
        <f t="shared" si="19"/>
        <v>127.89375663867881</v>
      </c>
      <c r="K83" s="12">
        <f t="shared" si="20"/>
        <v>8183154.5851867488</v>
      </c>
    </row>
    <row r="84" spans="1:12" x14ac:dyDescent="0.25">
      <c r="A84" s="41" t="s">
        <v>73</v>
      </c>
      <c r="B84" s="219">
        <v>2737.16</v>
      </c>
      <c r="C84" s="236">
        <v>1943.24</v>
      </c>
      <c r="D84" s="14">
        <f t="shared" si="14"/>
        <v>0.70994753686302592</v>
      </c>
      <c r="E84" s="13">
        <v>682.22</v>
      </c>
      <c r="F84" s="8">
        <f t="shared" si="15"/>
        <v>484.34040859869356</v>
      </c>
      <c r="G84" s="7">
        <f t="shared" si="16"/>
        <v>29.353964157496581</v>
      </c>
      <c r="H84" s="8">
        <f t="shared" si="17"/>
        <v>197.87959140130647</v>
      </c>
      <c r="I84" s="7">
        <f t="shared" si="18"/>
        <v>9.2037019256421608</v>
      </c>
      <c r="J84" s="8">
        <f t="shared" si="19"/>
        <v>38.557666083138741</v>
      </c>
      <c r="K84" s="12">
        <f t="shared" si="20"/>
        <v>2467073.845471147</v>
      </c>
    </row>
    <row r="85" spans="1:12" x14ac:dyDescent="0.25">
      <c r="A85" s="41" t="s">
        <v>74</v>
      </c>
      <c r="B85" s="219">
        <v>2669.43</v>
      </c>
      <c r="C85" s="236">
        <v>1792.49</v>
      </c>
      <c r="D85" s="14">
        <f t="shared" si="14"/>
        <v>0.6714879206422345</v>
      </c>
      <c r="E85" s="13">
        <v>665.95</v>
      </c>
      <c r="F85" s="8">
        <f t="shared" si="15"/>
        <v>447.17738075169609</v>
      </c>
      <c r="G85" s="7">
        <f t="shared" si="16"/>
        <v>27.101659439496732</v>
      </c>
      <c r="H85" s="8">
        <f t="shared" si="17"/>
        <v>218.77261924830395</v>
      </c>
      <c r="I85" s="7">
        <f t="shared" si="18"/>
        <v>10.175470662711811</v>
      </c>
      <c r="J85" s="8">
        <f t="shared" si="19"/>
        <v>37.277130102208545</v>
      </c>
      <c r="K85" s="12">
        <f t="shared" si="20"/>
        <v>2385140.0266573797</v>
      </c>
    </row>
    <row r="86" spans="1:12" x14ac:dyDescent="0.25">
      <c r="A86" s="41" t="s">
        <v>75</v>
      </c>
      <c r="B86" s="219">
        <v>8533.4500000000007</v>
      </c>
      <c r="C86" s="236">
        <v>4605.55</v>
      </c>
      <c r="D86" s="14">
        <f t="shared" si="14"/>
        <v>0.5397055118387053</v>
      </c>
      <c r="E86" s="13">
        <v>2107.63</v>
      </c>
      <c r="F86" s="8">
        <f t="shared" si="15"/>
        <v>1137.4995279166105</v>
      </c>
      <c r="G86" s="7">
        <f t="shared" si="16"/>
        <v>68.939365328279422</v>
      </c>
      <c r="H86" s="8">
        <f t="shared" si="17"/>
        <v>970.13047208338958</v>
      </c>
      <c r="I86" s="7">
        <f t="shared" si="18"/>
        <v>45.122347538762305</v>
      </c>
      <c r="J86" s="8">
        <f t="shared" si="19"/>
        <v>114.06171286704173</v>
      </c>
      <c r="K86" s="12">
        <f t="shared" si="20"/>
        <v>7298125.0467069643</v>
      </c>
    </row>
    <row r="87" spans="1:12" x14ac:dyDescent="0.25">
      <c r="A87" s="41" t="s">
        <v>76</v>
      </c>
      <c r="B87" s="219">
        <v>10966.62</v>
      </c>
      <c r="C87" s="236">
        <v>7289.33</v>
      </c>
      <c r="D87" s="14">
        <f t="shared" si="14"/>
        <v>0.6646833755523579</v>
      </c>
      <c r="E87" s="13">
        <v>2683.38</v>
      </c>
      <c r="F87" s="8">
        <f t="shared" si="15"/>
        <v>1783.5980762896863</v>
      </c>
      <c r="G87" s="7">
        <f t="shared" si="16"/>
        <v>108.09685310846584</v>
      </c>
      <c r="H87" s="8">
        <f t="shared" si="17"/>
        <v>899.78192371031378</v>
      </c>
      <c r="I87" s="7">
        <f t="shared" si="18"/>
        <v>41.850322033037848</v>
      </c>
      <c r="J87" s="8">
        <f t="shared" si="19"/>
        <v>149.94717514150369</v>
      </c>
      <c r="K87" s="12">
        <f t="shared" si="20"/>
        <v>9594220.5940638017</v>
      </c>
    </row>
    <row r="88" spans="1:12" x14ac:dyDescent="0.25">
      <c r="A88" s="41" t="s">
        <v>77</v>
      </c>
      <c r="B88" s="219">
        <v>7107.44</v>
      </c>
      <c r="C88" s="236">
        <v>5120.8100000000004</v>
      </c>
      <c r="D88" s="14">
        <f t="shared" si="14"/>
        <v>0.72048585707371438</v>
      </c>
      <c r="E88" s="13">
        <v>1865.74</v>
      </c>
      <c r="F88" s="8">
        <f t="shared" si="15"/>
        <v>1344.2392829767118</v>
      </c>
      <c r="G88" s="7">
        <f t="shared" si="16"/>
        <v>81.469047453134053</v>
      </c>
      <c r="H88" s="8">
        <f t="shared" si="17"/>
        <v>521.50071702328819</v>
      </c>
      <c r="I88" s="7">
        <f t="shared" si="18"/>
        <v>24.255847303408753</v>
      </c>
      <c r="J88" s="8">
        <f t="shared" si="19"/>
        <v>105.72489475654281</v>
      </c>
      <c r="K88" s="12">
        <f t="shared" si="20"/>
        <v>6764702.046712256</v>
      </c>
    </row>
    <row r="89" spans="1:12" x14ac:dyDescent="0.25">
      <c r="A89" s="41" t="s">
        <v>78</v>
      </c>
      <c r="B89" s="219">
        <v>15888.61</v>
      </c>
      <c r="C89" s="236">
        <v>11802.21</v>
      </c>
      <c r="D89" s="14">
        <f t="shared" si="14"/>
        <v>0.74280947169072675</v>
      </c>
      <c r="E89" s="13">
        <v>3969.09</v>
      </c>
      <c r="F89" s="8">
        <f t="shared" si="15"/>
        <v>2948.2776459929469</v>
      </c>
      <c r="G89" s="7">
        <f t="shared" si="16"/>
        <v>178.68349369654223</v>
      </c>
      <c r="H89" s="8">
        <f t="shared" si="17"/>
        <v>1020.8123540070533</v>
      </c>
      <c r="I89" s="7">
        <f t="shared" si="18"/>
        <v>47.479644372421085</v>
      </c>
      <c r="J89" s="8">
        <f t="shared" si="19"/>
        <v>226.16313806896332</v>
      </c>
      <c r="K89" s="12">
        <f t="shared" si="20"/>
        <v>14470823.040391846</v>
      </c>
    </row>
    <row r="90" spans="1:12" x14ac:dyDescent="0.25">
      <c r="A90" s="41" t="s">
        <v>79</v>
      </c>
      <c r="B90" s="219">
        <v>3787.02</v>
      </c>
      <c r="C90" s="236">
        <v>2926.7</v>
      </c>
      <c r="D90" s="14">
        <f t="shared" si="14"/>
        <v>0.7728240146606038</v>
      </c>
      <c r="E90" s="13">
        <v>945.73</v>
      </c>
      <c r="F90" s="8">
        <f t="shared" si="15"/>
        <v>730.8828553849728</v>
      </c>
      <c r="G90" s="7">
        <f t="shared" si="16"/>
        <v>44.295930629392288</v>
      </c>
      <c r="H90" s="8">
        <f t="shared" si="17"/>
        <v>214.84714461502722</v>
      </c>
      <c r="I90" s="7">
        <f t="shared" si="18"/>
        <v>9.9928904472105682</v>
      </c>
      <c r="J90" s="8">
        <f t="shared" si="19"/>
        <v>54.288821076602858</v>
      </c>
      <c r="K90" s="12">
        <f t="shared" si="20"/>
        <v>3473616.1232051128</v>
      </c>
    </row>
    <row r="91" spans="1:12" x14ac:dyDescent="0.25">
      <c r="A91" s="41" t="s">
        <v>80</v>
      </c>
      <c r="B91" s="219">
        <v>3426.1</v>
      </c>
      <c r="C91" s="236">
        <v>3131.81</v>
      </c>
      <c r="D91" s="14">
        <f t="shared" si="14"/>
        <v>0.91410349960596593</v>
      </c>
      <c r="E91" s="13">
        <v>843.22</v>
      </c>
      <c r="F91" s="8">
        <f t="shared" si="15"/>
        <v>770.79035293774257</v>
      </c>
      <c r="G91" s="7">
        <f t="shared" si="16"/>
        <v>46.714566844711669</v>
      </c>
      <c r="H91" s="8">
        <f t="shared" si="17"/>
        <v>72.429647062257459</v>
      </c>
      <c r="I91" s="7">
        <f t="shared" si="18"/>
        <v>3.3688207935933701</v>
      </c>
      <c r="J91" s="8">
        <f t="shared" si="19"/>
        <v>50.083387638305041</v>
      </c>
      <c r="K91" s="12">
        <f t="shared" si="20"/>
        <v>3204535.6549495049</v>
      </c>
    </row>
    <row r="92" spans="1:12" x14ac:dyDescent="0.25">
      <c r="A92" s="41" t="s">
        <v>81</v>
      </c>
      <c r="B92" s="219">
        <v>4956.4399999999996</v>
      </c>
      <c r="C92" s="236">
        <v>3366.99</v>
      </c>
      <c r="D92" s="14">
        <f t="shared" si="14"/>
        <v>0.67931620275843152</v>
      </c>
      <c r="E92" s="13">
        <v>1159.6600000000001</v>
      </c>
      <c r="F92" s="8">
        <f t="shared" si="15"/>
        <v>787.77582769084279</v>
      </c>
      <c r="G92" s="7">
        <f t="shared" si="16"/>
        <v>47.743989557020775</v>
      </c>
      <c r="H92" s="8">
        <f t="shared" si="17"/>
        <v>371.88417230915729</v>
      </c>
      <c r="I92" s="7">
        <f t="shared" si="18"/>
        <v>17.296938246937547</v>
      </c>
      <c r="J92" s="8">
        <f t="shared" si="19"/>
        <v>65.040927803958326</v>
      </c>
      <c r="K92" s="12">
        <f t="shared" si="20"/>
        <v>4161578.9587558093</v>
      </c>
    </row>
    <row r="93" spans="1:12" x14ac:dyDescent="0.25">
      <c r="A93" s="41" t="s">
        <v>82</v>
      </c>
      <c r="B93" s="219">
        <v>7694.47</v>
      </c>
      <c r="C93" s="236">
        <v>2768.93</v>
      </c>
      <c r="D93" s="14">
        <f t="shared" si="14"/>
        <v>0.35985974342612287</v>
      </c>
      <c r="E93" s="13">
        <v>1838.99</v>
      </c>
      <c r="F93" s="8">
        <f t="shared" si="15"/>
        <v>661.7784695632057</v>
      </c>
      <c r="G93" s="7">
        <f t="shared" si="16"/>
        <v>40.107786034133682</v>
      </c>
      <c r="H93" s="8">
        <f t="shared" si="17"/>
        <v>1177.2115304367944</v>
      </c>
      <c r="I93" s="7">
        <f t="shared" si="18"/>
        <v>54.75402467147881</v>
      </c>
      <c r="J93" s="8">
        <f t="shared" si="19"/>
        <v>94.861810705612498</v>
      </c>
      <c r="K93" s="12">
        <f t="shared" si="20"/>
        <v>6069638.4376904285</v>
      </c>
    </row>
    <row r="94" spans="1:12" x14ac:dyDescent="0.25">
      <c r="A94" s="41" t="s">
        <v>83</v>
      </c>
      <c r="B94" s="219">
        <v>17132.009999999998</v>
      </c>
      <c r="C94" s="236">
        <v>10493.05</v>
      </c>
      <c r="D94" s="14">
        <f t="shared" si="14"/>
        <v>0.61248213140197794</v>
      </c>
      <c r="E94" s="13">
        <v>4084.99</v>
      </c>
      <c r="F94" s="8">
        <f t="shared" si="15"/>
        <v>2501.9833819557657</v>
      </c>
      <c r="G94" s="7">
        <f t="shared" si="16"/>
        <v>151.63535648216762</v>
      </c>
      <c r="H94" s="8">
        <f t="shared" si="17"/>
        <v>1583.0066180442341</v>
      </c>
      <c r="I94" s="7">
        <f t="shared" si="18"/>
        <v>73.628214792755074</v>
      </c>
      <c r="J94" s="8">
        <f t="shared" si="19"/>
        <v>225.2635712749227</v>
      </c>
      <c r="K94" s="12">
        <f t="shared" si="20"/>
        <v>14413265.15540351</v>
      </c>
    </row>
    <row r="95" spans="1:12" x14ac:dyDescent="0.25">
      <c r="A95" s="41" t="s">
        <v>84</v>
      </c>
      <c r="B95" s="219">
        <v>15937.31</v>
      </c>
      <c r="C95" s="236">
        <v>3335.44</v>
      </c>
      <c r="D95" s="14">
        <f t="shared" si="14"/>
        <v>0.2092850048094691</v>
      </c>
      <c r="E95" s="13">
        <v>3868.25</v>
      </c>
      <c r="F95" s="8">
        <f t="shared" si="15"/>
        <v>809.56671985422884</v>
      </c>
      <c r="G95" s="7">
        <f t="shared" si="16"/>
        <v>49.064649688135084</v>
      </c>
      <c r="H95" s="8">
        <f t="shared" si="17"/>
        <v>3058.6832801457713</v>
      </c>
      <c r="I95" s="7">
        <f t="shared" si="18"/>
        <v>142.26433861143121</v>
      </c>
      <c r="J95" s="8">
        <f t="shared" si="19"/>
        <v>191.3289882995663</v>
      </c>
      <c r="K95" s="12">
        <f t="shared" si="20"/>
        <v>12241994.676143808</v>
      </c>
    </row>
    <row r="96" spans="1:12" s="241" customFormat="1" ht="15.75" thickBot="1" x14ac:dyDescent="0.3">
      <c r="A96" s="687" t="s">
        <v>312</v>
      </c>
      <c r="B96" s="223">
        <v>721122.25</v>
      </c>
      <c r="C96" s="238">
        <v>446194.4</v>
      </c>
      <c r="D96" s="17">
        <f t="shared" si="14"/>
        <v>0.61875001083380798</v>
      </c>
      <c r="E96" s="16">
        <f>SUM(E15:E95)</f>
        <v>178583.39</v>
      </c>
      <c r="F96" s="18">
        <f t="shared" ref="F96:J96" si="21">SUM(F15:F95)</f>
        <v>110751.17267506746</v>
      </c>
      <c r="G96" s="19">
        <f t="shared" si="21"/>
        <v>6712.1922833374201</v>
      </c>
      <c r="H96" s="18">
        <f t="shared" si="21"/>
        <v>67832.217324932542</v>
      </c>
      <c r="I96" s="20">
        <f t="shared" si="21"/>
        <v>3154.9868523224441</v>
      </c>
      <c r="J96" s="18">
        <f t="shared" si="21"/>
        <v>9867.1791356598696</v>
      </c>
      <c r="K96" s="21">
        <f>SUM(K15:K95)</f>
        <v>631341625.33790529</v>
      </c>
      <c r="L96" s="1"/>
    </row>
  </sheetData>
  <mergeCells count="17">
    <mergeCell ref="A12:A13"/>
    <mergeCell ref="B12:B13"/>
    <mergeCell ref="C12:C13"/>
    <mergeCell ref="D12:D13"/>
    <mergeCell ref="E12:E13"/>
    <mergeCell ref="J11:K11"/>
    <mergeCell ref="D3:F3"/>
    <mergeCell ref="K12:K13"/>
    <mergeCell ref="F12:F13"/>
    <mergeCell ref="G12:G13"/>
    <mergeCell ref="H12:H13"/>
    <mergeCell ref="I12:I13"/>
    <mergeCell ref="J12:J13"/>
    <mergeCell ref="B11:E11"/>
    <mergeCell ref="F11:G11"/>
    <mergeCell ref="H11:I11"/>
    <mergeCell ref="B10:K10"/>
  </mergeCells>
  <conditionalFormatting sqref="O97:O1048576">
    <cfRule type="cellIs" dxfId="11" priority="5" operator="lessThan">
      <formula>0</formula>
    </cfRule>
  </conditionalFormatting>
  <conditionalFormatting sqref="K15:K96">
    <cfRule type="cellIs" dxfId="10" priority="2" operator="lessThan">
      <formula>0</formula>
    </cfRule>
  </conditionalFormatting>
  <conditionalFormatting sqref="K12">
    <cfRule type="cellIs" dxfId="9" priority="1" operator="lessThan">
      <formula>0</formula>
    </cfRule>
  </conditionalFormatting>
  <printOptions horizontalCentered="1"/>
  <pageMargins left="0.7" right="0.7" top="0.75" bottom="0.75" header="0.3" footer="0.3"/>
  <pageSetup scale="64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L96"/>
  <sheetViews>
    <sheetView zoomScaleNormal="100" workbookViewId="0">
      <selection activeCell="I7" sqref="I7"/>
    </sheetView>
  </sheetViews>
  <sheetFormatPr defaultRowHeight="15" x14ac:dyDescent="0.25"/>
  <cols>
    <col min="1" max="1" width="20.28515625" style="1" customWidth="1"/>
    <col min="2" max="2" width="12.7109375" style="1" customWidth="1"/>
    <col min="3" max="3" width="10.42578125" style="230" customWidth="1"/>
    <col min="4" max="4" width="12.85546875" style="1" bestFit="1" customWidth="1"/>
    <col min="5" max="5" width="10.7109375" style="230" customWidth="1"/>
    <col min="6" max="6" width="13" style="1" customWidth="1"/>
    <col min="7" max="7" width="17.28515625" style="1" customWidth="1"/>
    <col min="8" max="8" width="13.28515625" style="1" customWidth="1"/>
    <col min="9" max="9" width="13.7109375" style="1" customWidth="1"/>
    <col min="10" max="10" width="18.85546875" style="1" customWidth="1"/>
    <col min="11" max="11" width="14" style="1" customWidth="1"/>
    <col min="12" max="12" width="12.28515625" style="1" customWidth="1"/>
    <col min="13" max="13" width="12.7109375" style="1" bestFit="1" customWidth="1"/>
    <col min="14" max="14" width="13.85546875" style="1" bestFit="1" customWidth="1"/>
    <col min="15" max="15" width="12.7109375" style="1" bestFit="1" customWidth="1"/>
    <col min="16" max="16" width="9.7109375" style="1" bestFit="1" customWidth="1"/>
    <col min="17" max="17" width="7" style="1" bestFit="1" customWidth="1"/>
    <col min="18" max="16384" width="9.140625" style="1"/>
  </cols>
  <sheetData>
    <row r="1" spans="1:11" ht="23.25" x14ac:dyDescent="0.35">
      <c r="A1" s="229" t="s">
        <v>671</v>
      </c>
    </row>
    <row r="2" spans="1:11" ht="15.75" customHeight="1" thickBot="1" x14ac:dyDescent="0.4">
      <c r="A2" s="229"/>
    </row>
    <row r="3" spans="1:11" ht="15.75" thickBot="1" x14ac:dyDescent="0.3">
      <c r="A3" s="640" t="s">
        <v>94</v>
      </c>
      <c r="B3" s="352"/>
      <c r="C3" s="353"/>
      <c r="D3" s="836" t="s">
        <v>104</v>
      </c>
      <c r="E3" s="837"/>
      <c r="F3" s="838"/>
    </row>
    <row r="4" spans="1:11" ht="25.5" x14ac:dyDescent="0.25">
      <c r="A4" s="354" t="s">
        <v>163</v>
      </c>
      <c r="B4" s="37">
        <f>Amounts!B4</f>
        <v>44586</v>
      </c>
      <c r="C4" s="353"/>
      <c r="D4" s="355" t="s">
        <v>102</v>
      </c>
      <c r="E4" s="651"/>
      <c r="F4" s="10">
        <f>Amounts!B19</f>
        <v>16.5</v>
      </c>
    </row>
    <row r="5" spans="1:11" ht="15.75" thickBot="1" x14ac:dyDescent="0.3">
      <c r="A5" s="354" t="s">
        <v>138</v>
      </c>
      <c r="B5" s="37">
        <f>B4*C9</f>
        <v>12600.0036</v>
      </c>
      <c r="C5" s="353"/>
      <c r="D5" s="356" t="s">
        <v>103</v>
      </c>
      <c r="E5" s="652"/>
      <c r="F5" s="11">
        <f>Amounts!C19</f>
        <v>21.5</v>
      </c>
    </row>
    <row r="6" spans="1:11" x14ac:dyDescent="0.25">
      <c r="A6" s="355" t="s">
        <v>98</v>
      </c>
      <c r="B6" s="37">
        <f>Amounts!B6</f>
        <v>6798</v>
      </c>
      <c r="C6" s="353"/>
      <c r="D6" s="353"/>
      <c r="E6" s="353"/>
    </row>
    <row r="7" spans="1:11" ht="15.75" thickBot="1" x14ac:dyDescent="0.3">
      <c r="A7" s="644" t="s">
        <v>96</v>
      </c>
      <c r="B7" s="645">
        <f>SUM(B4:B6)</f>
        <v>63984.003599999996</v>
      </c>
      <c r="C7" s="353"/>
      <c r="D7" s="353"/>
      <c r="E7" s="353"/>
    </row>
    <row r="8" spans="1:11" ht="15.75" customHeight="1" x14ac:dyDescent="0.25">
      <c r="A8" s="353"/>
      <c r="B8" s="353"/>
      <c r="C8" s="353"/>
      <c r="D8" s="353"/>
      <c r="E8" s="353"/>
    </row>
    <row r="9" spans="1:11" ht="15.75" customHeight="1" thickBot="1" x14ac:dyDescent="0.3">
      <c r="A9" s="648" t="s">
        <v>137</v>
      </c>
      <c r="B9" s="649"/>
      <c r="C9" s="231">
        <f>Amounts!B9</f>
        <v>0.28260000000000002</v>
      </c>
      <c r="D9" s="353"/>
      <c r="E9" s="653"/>
    </row>
    <row r="10" spans="1:11" ht="15.75" thickBot="1" x14ac:dyDescent="0.3">
      <c r="B10" s="850" t="s">
        <v>123</v>
      </c>
      <c r="C10" s="851"/>
      <c r="D10" s="851"/>
      <c r="E10" s="851"/>
      <c r="F10" s="851"/>
      <c r="G10" s="851"/>
      <c r="H10" s="851"/>
      <c r="I10" s="851"/>
      <c r="J10" s="851"/>
      <c r="K10" s="852"/>
    </row>
    <row r="11" spans="1:11" ht="15.75" thickBot="1" x14ac:dyDescent="0.3">
      <c r="B11" s="833" t="s">
        <v>93</v>
      </c>
      <c r="C11" s="834"/>
      <c r="D11" s="834"/>
      <c r="E11" s="834"/>
      <c r="F11" s="833" t="s">
        <v>2</v>
      </c>
      <c r="G11" s="835"/>
      <c r="H11" s="833" t="s">
        <v>120</v>
      </c>
      <c r="I11" s="835"/>
      <c r="J11" s="833" t="s">
        <v>89</v>
      </c>
      <c r="K11" s="835"/>
    </row>
    <row r="12" spans="1:11" ht="15" customHeight="1" x14ac:dyDescent="0.25">
      <c r="A12" s="848" t="s">
        <v>0</v>
      </c>
      <c r="B12" s="844" t="s">
        <v>86</v>
      </c>
      <c r="C12" s="846" t="s">
        <v>85</v>
      </c>
      <c r="D12" s="846" t="s">
        <v>92</v>
      </c>
      <c r="E12" s="846" t="s">
        <v>110</v>
      </c>
      <c r="F12" s="844" t="s">
        <v>88</v>
      </c>
      <c r="G12" s="827" t="s">
        <v>3</v>
      </c>
      <c r="H12" s="844" t="s">
        <v>88</v>
      </c>
      <c r="I12" s="827" t="s">
        <v>3</v>
      </c>
      <c r="J12" s="844" t="s">
        <v>87</v>
      </c>
      <c r="K12" s="842" t="s">
        <v>105</v>
      </c>
    </row>
    <row r="13" spans="1:11" x14ac:dyDescent="0.25">
      <c r="A13" s="849"/>
      <c r="B13" s="845"/>
      <c r="C13" s="847"/>
      <c r="D13" s="847"/>
      <c r="E13" s="847"/>
      <c r="F13" s="845"/>
      <c r="G13" s="828"/>
      <c r="H13" s="845"/>
      <c r="I13" s="828"/>
      <c r="J13" s="845"/>
      <c r="K13" s="843"/>
    </row>
    <row r="14" spans="1:11" s="241" customFormat="1" x14ac:dyDescent="0.25">
      <c r="A14" s="698" t="s">
        <v>715</v>
      </c>
      <c r="B14" s="690" t="s">
        <v>716</v>
      </c>
      <c r="C14" s="689" t="s">
        <v>717</v>
      </c>
      <c r="D14" s="689" t="s">
        <v>718</v>
      </c>
      <c r="E14" s="689" t="s">
        <v>719</v>
      </c>
      <c r="F14" s="690" t="s">
        <v>720</v>
      </c>
      <c r="G14" s="696" t="s">
        <v>721</v>
      </c>
      <c r="H14" s="690" t="s">
        <v>722</v>
      </c>
      <c r="I14" s="696" t="s">
        <v>723</v>
      </c>
      <c r="J14" s="690" t="s">
        <v>724</v>
      </c>
      <c r="K14" s="695" t="s">
        <v>725</v>
      </c>
    </row>
    <row r="15" spans="1:11" x14ac:dyDescent="0.25">
      <c r="A15" s="41" t="s">
        <v>4</v>
      </c>
      <c r="B15" s="219">
        <v>2915.96</v>
      </c>
      <c r="C15" s="236">
        <v>2006.13</v>
      </c>
      <c r="D15" s="14">
        <f>C15/B15</f>
        <v>0.68798268837706966</v>
      </c>
      <c r="E15" s="13">
        <v>439.84000000000003</v>
      </c>
      <c r="F15" s="8">
        <f t="shared" ref="F15:F46" si="0">E15*D15</f>
        <v>302.60230565577035</v>
      </c>
      <c r="G15" s="7">
        <f t="shared" ref="G15:G46" si="1">ROUNDUP((F15/$F$4),0)</f>
        <v>19</v>
      </c>
      <c r="H15" s="8">
        <f t="shared" ref="H15:H46" si="2">E15-F15</f>
        <v>137.23769434422968</v>
      </c>
      <c r="I15" s="7">
        <f t="shared" ref="I15:I46" si="3">ROUNDUP((H15/$F$5),0)</f>
        <v>7</v>
      </c>
      <c r="J15" s="8">
        <f>G15+I15</f>
        <v>26</v>
      </c>
      <c r="K15" s="12">
        <f t="shared" ref="K15:K46" si="4">J15*$B$7</f>
        <v>1663584.0935999998</v>
      </c>
    </row>
    <row r="16" spans="1:11" x14ac:dyDescent="0.25">
      <c r="A16" s="41" t="s">
        <v>5</v>
      </c>
      <c r="B16" s="219">
        <v>23246.81</v>
      </c>
      <c r="C16" s="236">
        <v>15253.01</v>
      </c>
      <c r="D16" s="14">
        <f t="shared" ref="D16:D79" si="5">C16/B16</f>
        <v>0.65613346519371907</v>
      </c>
      <c r="E16" s="13">
        <v>3649.6</v>
      </c>
      <c r="F16" s="8">
        <f t="shared" si="0"/>
        <v>2394.6246945709972</v>
      </c>
      <c r="G16" s="7">
        <f t="shared" si="1"/>
        <v>146</v>
      </c>
      <c r="H16" s="8">
        <f t="shared" si="2"/>
        <v>1254.9753054290027</v>
      </c>
      <c r="I16" s="7">
        <f t="shared" si="3"/>
        <v>59</v>
      </c>
      <c r="J16" s="8">
        <f t="shared" ref="J16:J79" si="6">G16+I16</f>
        <v>205</v>
      </c>
      <c r="K16" s="12">
        <f t="shared" si="4"/>
        <v>13116720.738</v>
      </c>
    </row>
    <row r="17" spans="1:11" x14ac:dyDescent="0.25">
      <c r="A17" s="41" t="s">
        <v>6</v>
      </c>
      <c r="B17" s="219">
        <v>1028.55</v>
      </c>
      <c r="C17" s="236">
        <v>973.11</v>
      </c>
      <c r="D17" s="14">
        <f t="shared" si="5"/>
        <v>0.94609887705993878</v>
      </c>
      <c r="E17" s="13">
        <v>142.43</v>
      </c>
      <c r="F17" s="8">
        <f t="shared" si="0"/>
        <v>134.7528630596471</v>
      </c>
      <c r="G17" s="7">
        <f t="shared" si="1"/>
        <v>9</v>
      </c>
      <c r="H17" s="8">
        <f t="shared" si="2"/>
        <v>7.6771369403529093</v>
      </c>
      <c r="I17" s="7">
        <f t="shared" si="3"/>
        <v>1</v>
      </c>
      <c r="J17" s="8">
        <f t="shared" si="6"/>
        <v>10</v>
      </c>
      <c r="K17" s="12">
        <f t="shared" si="4"/>
        <v>639840.03599999996</v>
      </c>
    </row>
    <row r="18" spans="1:11" x14ac:dyDescent="0.25">
      <c r="A18" s="41" t="s">
        <v>7</v>
      </c>
      <c r="B18" s="219">
        <v>9875.19</v>
      </c>
      <c r="C18" s="236">
        <v>4961.09</v>
      </c>
      <c r="D18" s="14">
        <f t="shared" si="5"/>
        <v>0.50237919472941783</v>
      </c>
      <c r="E18" s="13">
        <v>1556.0900000000001</v>
      </c>
      <c r="F18" s="8">
        <f t="shared" si="0"/>
        <v>781.74724112649983</v>
      </c>
      <c r="G18" s="7">
        <f t="shared" si="1"/>
        <v>48</v>
      </c>
      <c r="H18" s="8">
        <f t="shared" si="2"/>
        <v>774.34275887350032</v>
      </c>
      <c r="I18" s="7">
        <f t="shared" si="3"/>
        <v>37</v>
      </c>
      <c r="J18" s="8">
        <f t="shared" si="6"/>
        <v>85</v>
      </c>
      <c r="K18" s="12">
        <f t="shared" si="4"/>
        <v>5438640.3059999999</v>
      </c>
    </row>
    <row r="19" spans="1:11" x14ac:dyDescent="0.25">
      <c r="A19" s="41" t="s">
        <v>8</v>
      </c>
      <c r="B19" s="219">
        <v>3618.89</v>
      </c>
      <c r="C19" s="236">
        <v>2306.6999999999998</v>
      </c>
      <c r="D19" s="14">
        <f t="shared" si="5"/>
        <v>0.63740539226116288</v>
      </c>
      <c r="E19" s="13">
        <v>580.84999999999991</v>
      </c>
      <c r="F19" s="8">
        <f t="shared" si="0"/>
        <v>370.23692209489639</v>
      </c>
      <c r="G19" s="7">
        <f t="shared" si="1"/>
        <v>23</v>
      </c>
      <c r="H19" s="8">
        <f t="shared" si="2"/>
        <v>210.61307790510352</v>
      </c>
      <c r="I19" s="7">
        <f t="shared" si="3"/>
        <v>10</v>
      </c>
      <c r="J19" s="8">
        <f t="shared" si="6"/>
        <v>33</v>
      </c>
      <c r="K19" s="12">
        <f t="shared" si="4"/>
        <v>2111472.1187999998</v>
      </c>
    </row>
    <row r="20" spans="1:11" x14ac:dyDescent="0.25">
      <c r="A20" s="41" t="s">
        <v>9</v>
      </c>
      <c r="B20" s="219">
        <v>2479.0500000000002</v>
      </c>
      <c r="C20" s="236">
        <v>1811.63</v>
      </c>
      <c r="D20" s="14">
        <f t="shared" si="5"/>
        <v>0.73077590205925658</v>
      </c>
      <c r="E20" s="13">
        <v>394.47</v>
      </c>
      <c r="F20" s="8">
        <f t="shared" si="0"/>
        <v>288.26917008531495</v>
      </c>
      <c r="G20" s="7">
        <f t="shared" si="1"/>
        <v>18</v>
      </c>
      <c r="H20" s="8">
        <f t="shared" si="2"/>
        <v>106.20082991468507</v>
      </c>
      <c r="I20" s="7">
        <f t="shared" si="3"/>
        <v>5</v>
      </c>
      <c r="J20" s="8">
        <f t="shared" si="6"/>
        <v>23</v>
      </c>
      <c r="K20" s="12">
        <f t="shared" si="4"/>
        <v>1471632.0828</v>
      </c>
    </row>
    <row r="21" spans="1:11" x14ac:dyDescent="0.25">
      <c r="A21" s="41" t="s">
        <v>10</v>
      </c>
      <c r="B21" s="219">
        <v>2744.29</v>
      </c>
      <c r="C21" s="236">
        <v>1684.95</v>
      </c>
      <c r="D21" s="14">
        <f t="shared" si="5"/>
        <v>0.61398394484547913</v>
      </c>
      <c r="E21" s="13">
        <v>422.03999999999996</v>
      </c>
      <c r="F21" s="8">
        <f t="shared" si="0"/>
        <v>259.12578408258599</v>
      </c>
      <c r="G21" s="7">
        <f t="shared" si="1"/>
        <v>16</v>
      </c>
      <c r="H21" s="8">
        <f t="shared" si="2"/>
        <v>162.91421591741397</v>
      </c>
      <c r="I21" s="7">
        <f t="shared" si="3"/>
        <v>8</v>
      </c>
      <c r="J21" s="8">
        <f t="shared" si="6"/>
        <v>24</v>
      </c>
      <c r="K21" s="12">
        <f t="shared" si="4"/>
        <v>1535616.0863999999</v>
      </c>
    </row>
    <row r="22" spans="1:11" x14ac:dyDescent="0.25">
      <c r="A22" s="41" t="s">
        <v>11</v>
      </c>
      <c r="B22" s="219">
        <v>12671.61</v>
      </c>
      <c r="C22" s="236">
        <v>8210.69</v>
      </c>
      <c r="D22" s="14">
        <f t="shared" si="5"/>
        <v>0.64795949370285233</v>
      </c>
      <c r="E22" s="13">
        <v>1978.46</v>
      </c>
      <c r="F22" s="8">
        <f t="shared" si="0"/>
        <v>1281.9619399113453</v>
      </c>
      <c r="G22" s="7">
        <f t="shared" si="1"/>
        <v>78</v>
      </c>
      <c r="H22" s="8">
        <f t="shared" si="2"/>
        <v>696.49806008865471</v>
      </c>
      <c r="I22" s="7">
        <f t="shared" si="3"/>
        <v>33</v>
      </c>
      <c r="J22" s="8">
        <f t="shared" si="6"/>
        <v>111</v>
      </c>
      <c r="K22" s="12">
        <f t="shared" si="4"/>
        <v>7102224.3995999992</v>
      </c>
    </row>
    <row r="23" spans="1:11" x14ac:dyDescent="0.25">
      <c r="A23" s="41" t="s">
        <v>12</v>
      </c>
      <c r="B23" s="219">
        <v>1256.76</v>
      </c>
      <c r="C23" s="236">
        <v>988.98</v>
      </c>
      <c r="D23" s="14">
        <f t="shared" si="5"/>
        <v>0.78692829179795665</v>
      </c>
      <c r="E23" s="13">
        <v>201.73000000000002</v>
      </c>
      <c r="F23" s="8">
        <f t="shared" si="0"/>
        <v>158.74704430440181</v>
      </c>
      <c r="G23" s="7">
        <f t="shared" si="1"/>
        <v>10</v>
      </c>
      <c r="H23" s="8">
        <f t="shared" si="2"/>
        <v>42.982955695598207</v>
      </c>
      <c r="I23" s="7">
        <f t="shared" si="3"/>
        <v>2</v>
      </c>
      <c r="J23" s="8">
        <f t="shared" si="6"/>
        <v>12</v>
      </c>
      <c r="K23" s="12">
        <f t="shared" si="4"/>
        <v>767808.04319999996</v>
      </c>
    </row>
    <row r="24" spans="1:11" x14ac:dyDescent="0.25">
      <c r="A24" s="41" t="s">
        <v>13</v>
      </c>
      <c r="B24" s="219">
        <v>638.25</v>
      </c>
      <c r="C24" s="236">
        <v>596.16999999999996</v>
      </c>
      <c r="D24" s="14">
        <f t="shared" si="5"/>
        <v>0.93406972189580884</v>
      </c>
      <c r="E24" s="13">
        <v>96.13</v>
      </c>
      <c r="F24" s="8">
        <f t="shared" si="0"/>
        <v>89.792122365844094</v>
      </c>
      <c r="G24" s="7">
        <f t="shared" si="1"/>
        <v>6</v>
      </c>
      <c r="H24" s="8">
        <f t="shared" si="2"/>
        <v>6.3378776341559018</v>
      </c>
      <c r="I24" s="7">
        <f t="shared" si="3"/>
        <v>1</v>
      </c>
      <c r="J24" s="8">
        <f t="shared" si="6"/>
        <v>7</v>
      </c>
      <c r="K24" s="12">
        <f t="shared" si="4"/>
        <v>447888.02519999997</v>
      </c>
    </row>
    <row r="25" spans="1:11" x14ac:dyDescent="0.25">
      <c r="A25" s="41" t="s">
        <v>14</v>
      </c>
      <c r="B25" s="219">
        <v>587.14</v>
      </c>
      <c r="C25" s="236">
        <v>560.97</v>
      </c>
      <c r="D25" s="14">
        <f t="shared" si="5"/>
        <v>0.95542800694893903</v>
      </c>
      <c r="E25" s="13">
        <v>88.89</v>
      </c>
      <c r="F25" s="8">
        <f t="shared" si="0"/>
        <v>84.927995537691189</v>
      </c>
      <c r="G25" s="7">
        <f t="shared" si="1"/>
        <v>6</v>
      </c>
      <c r="H25" s="8">
        <f t="shared" si="2"/>
        <v>3.962004462308812</v>
      </c>
      <c r="I25" s="7">
        <f t="shared" si="3"/>
        <v>1</v>
      </c>
      <c r="J25" s="8">
        <f t="shared" si="6"/>
        <v>7</v>
      </c>
      <c r="K25" s="12">
        <f t="shared" si="4"/>
        <v>447888.02519999997</v>
      </c>
    </row>
    <row r="26" spans="1:11" x14ac:dyDescent="0.25">
      <c r="A26" s="41" t="s">
        <v>15</v>
      </c>
      <c r="B26" s="219">
        <v>822.79</v>
      </c>
      <c r="C26" s="236">
        <v>627.70000000000005</v>
      </c>
      <c r="D26" s="14">
        <f t="shared" si="5"/>
        <v>0.76289211098822307</v>
      </c>
      <c r="E26" s="13">
        <v>130.28</v>
      </c>
      <c r="F26" s="8">
        <f t="shared" si="0"/>
        <v>99.389584219545696</v>
      </c>
      <c r="G26" s="7">
        <f t="shared" si="1"/>
        <v>7</v>
      </c>
      <c r="H26" s="8">
        <f t="shared" si="2"/>
        <v>30.890415780454305</v>
      </c>
      <c r="I26" s="7">
        <f t="shared" si="3"/>
        <v>2</v>
      </c>
      <c r="J26" s="8">
        <f t="shared" si="6"/>
        <v>9</v>
      </c>
      <c r="K26" s="12">
        <f t="shared" si="4"/>
        <v>575856.03239999991</v>
      </c>
    </row>
    <row r="27" spans="1:11" x14ac:dyDescent="0.25">
      <c r="A27" s="41" t="s">
        <v>16</v>
      </c>
      <c r="B27" s="219">
        <v>2117.3200000000002</v>
      </c>
      <c r="C27" s="236">
        <v>1622.36</v>
      </c>
      <c r="D27" s="14">
        <f t="shared" si="5"/>
        <v>0.76623278484121427</v>
      </c>
      <c r="E27" s="13">
        <v>324.7</v>
      </c>
      <c r="F27" s="8">
        <f t="shared" si="0"/>
        <v>248.79578523794225</v>
      </c>
      <c r="G27" s="7">
        <f t="shared" si="1"/>
        <v>16</v>
      </c>
      <c r="H27" s="8">
        <f t="shared" si="2"/>
        <v>75.904214762057734</v>
      </c>
      <c r="I27" s="7">
        <f t="shared" si="3"/>
        <v>4</v>
      </c>
      <c r="J27" s="8">
        <f t="shared" si="6"/>
        <v>20</v>
      </c>
      <c r="K27" s="12">
        <f t="shared" si="4"/>
        <v>1279680.0719999999</v>
      </c>
    </row>
    <row r="28" spans="1:11" x14ac:dyDescent="0.25">
      <c r="A28" s="41" t="s">
        <v>17</v>
      </c>
      <c r="B28" s="219">
        <v>21287.25</v>
      </c>
      <c r="C28" s="236">
        <v>12285.96</v>
      </c>
      <c r="D28" s="14">
        <f t="shared" si="5"/>
        <v>0.57715111158087584</v>
      </c>
      <c r="E28" s="13">
        <v>3267.83</v>
      </c>
      <c r="F28" s="8">
        <f t="shared" si="0"/>
        <v>1886.0317169573334</v>
      </c>
      <c r="G28" s="7">
        <f t="shared" si="1"/>
        <v>115</v>
      </c>
      <c r="H28" s="8">
        <f t="shared" si="2"/>
        <v>1381.7982830426665</v>
      </c>
      <c r="I28" s="7">
        <f t="shared" si="3"/>
        <v>65</v>
      </c>
      <c r="J28" s="8">
        <f t="shared" si="6"/>
        <v>180</v>
      </c>
      <c r="K28" s="12">
        <f t="shared" si="4"/>
        <v>11517120.648</v>
      </c>
    </row>
    <row r="29" spans="1:11" x14ac:dyDescent="0.25">
      <c r="A29" s="41" t="s">
        <v>18</v>
      </c>
      <c r="B29" s="219">
        <v>34520.18</v>
      </c>
      <c r="C29" s="236">
        <v>19753.580000000002</v>
      </c>
      <c r="D29" s="14">
        <f t="shared" si="5"/>
        <v>0.57223282149745458</v>
      </c>
      <c r="E29" s="13">
        <v>5453.38</v>
      </c>
      <c r="F29" s="8">
        <f t="shared" si="0"/>
        <v>3120.6030240977889</v>
      </c>
      <c r="G29" s="7">
        <f t="shared" si="1"/>
        <v>190</v>
      </c>
      <c r="H29" s="8">
        <f t="shared" si="2"/>
        <v>2332.7769759022112</v>
      </c>
      <c r="I29" s="7">
        <f t="shared" si="3"/>
        <v>109</v>
      </c>
      <c r="J29" s="8">
        <f t="shared" si="6"/>
        <v>299</v>
      </c>
      <c r="K29" s="12">
        <f t="shared" si="4"/>
        <v>19131217.076400001</v>
      </c>
    </row>
    <row r="30" spans="1:11" x14ac:dyDescent="0.25">
      <c r="A30" s="41" t="s">
        <v>19</v>
      </c>
      <c r="B30" s="219">
        <v>1587.18</v>
      </c>
      <c r="C30" s="236">
        <v>1248.23</v>
      </c>
      <c r="D30" s="14">
        <f t="shared" si="5"/>
        <v>0.78644514169785407</v>
      </c>
      <c r="E30" s="13">
        <v>232.38</v>
      </c>
      <c r="F30" s="8">
        <f t="shared" si="0"/>
        <v>182.75412202774731</v>
      </c>
      <c r="G30" s="7">
        <f t="shared" si="1"/>
        <v>12</v>
      </c>
      <c r="H30" s="8">
        <f t="shared" si="2"/>
        <v>49.625877972252681</v>
      </c>
      <c r="I30" s="7">
        <f t="shared" si="3"/>
        <v>3</v>
      </c>
      <c r="J30" s="8">
        <f t="shared" si="6"/>
        <v>15</v>
      </c>
      <c r="K30" s="12">
        <f t="shared" si="4"/>
        <v>959760.054</v>
      </c>
    </row>
    <row r="31" spans="1:11" x14ac:dyDescent="0.25">
      <c r="A31" s="41" t="s">
        <v>20</v>
      </c>
      <c r="B31" s="219">
        <v>46485.36</v>
      </c>
      <c r="C31" s="236">
        <v>24154.240000000002</v>
      </c>
      <c r="D31" s="14">
        <f t="shared" si="5"/>
        <v>0.51960961472601264</v>
      </c>
      <c r="E31" s="13">
        <v>6969.0599999999995</v>
      </c>
      <c r="F31" s="8">
        <f t="shared" si="0"/>
        <v>3621.1905816024655</v>
      </c>
      <c r="G31" s="7">
        <f t="shared" si="1"/>
        <v>220</v>
      </c>
      <c r="H31" s="8">
        <f t="shared" si="2"/>
        <v>3347.869418397534</v>
      </c>
      <c r="I31" s="7">
        <f t="shared" si="3"/>
        <v>156</v>
      </c>
      <c r="J31" s="8">
        <f t="shared" si="6"/>
        <v>376</v>
      </c>
      <c r="K31" s="12">
        <f t="shared" si="4"/>
        <v>24057985.353599999</v>
      </c>
    </row>
    <row r="32" spans="1:11" x14ac:dyDescent="0.25">
      <c r="A32" s="41" t="s">
        <v>21</v>
      </c>
      <c r="B32" s="219">
        <v>8259.2199999999993</v>
      </c>
      <c r="C32" s="236">
        <v>6117.46</v>
      </c>
      <c r="D32" s="14">
        <f t="shared" si="5"/>
        <v>0.74068253418603702</v>
      </c>
      <c r="E32" s="13">
        <v>1253.17</v>
      </c>
      <c r="F32" s="8">
        <f t="shared" si="0"/>
        <v>928.20113136591613</v>
      </c>
      <c r="G32" s="7">
        <f t="shared" si="1"/>
        <v>57</v>
      </c>
      <c r="H32" s="8">
        <f t="shared" si="2"/>
        <v>324.96886863408395</v>
      </c>
      <c r="I32" s="7">
        <f t="shared" si="3"/>
        <v>16</v>
      </c>
      <c r="J32" s="8">
        <f t="shared" si="6"/>
        <v>73</v>
      </c>
      <c r="K32" s="12">
        <f t="shared" si="4"/>
        <v>4670832.2627999997</v>
      </c>
    </row>
    <row r="33" spans="1:11" x14ac:dyDescent="0.25">
      <c r="A33" s="41" t="s">
        <v>22</v>
      </c>
      <c r="B33" s="219">
        <v>4970.04</v>
      </c>
      <c r="C33" s="236">
        <v>3916.87</v>
      </c>
      <c r="D33" s="14">
        <f t="shared" si="5"/>
        <v>0.78809627286701911</v>
      </c>
      <c r="E33" s="13">
        <v>741.4</v>
      </c>
      <c r="F33" s="8">
        <f t="shared" si="0"/>
        <v>584.29457670360796</v>
      </c>
      <c r="G33" s="7">
        <f t="shared" si="1"/>
        <v>36</v>
      </c>
      <c r="H33" s="8">
        <f t="shared" si="2"/>
        <v>157.10542329639202</v>
      </c>
      <c r="I33" s="7">
        <f t="shared" si="3"/>
        <v>8</v>
      </c>
      <c r="J33" s="8">
        <f t="shared" si="6"/>
        <v>44</v>
      </c>
      <c r="K33" s="12">
        <f t="shared" si="4"/>
        <v>2815296.1584000001</v>
      </c>
    </row>
    <row r="34" spans="1:11" x14ac:dyDescent="0.25">
      <c r="A34" s="41" t="s">
        <v>23</v>
      </c>
      <c r="B34" s="219">
        <v>6691.02</v>
      </c>
      <c r="C34" s="236">
        <v>5025.46</v>
      </c>
      <c r="D34" s="14">
        <f t="shared" si="5"/>
        <v>0.75107532184928449</v>
      </c>
      <c r="E34" s="13">
        <v>1056.72</v>
      </c>
      <c r="F34" s="8">
        <f t="shared" si="0"/>
        <v>793.67631410457591</v>
      </c>
      <c r="G34" s="7">
        <f t="shared" si="1"/>
        <v>49</v>
      </c>
      <c r="H34" s="8">
        <f t="shared" si="2"/>
        <v>263.04368589542412</v>
      </c>
      <c r="I34" s="7">
        <f t="shared" si="3"/>
        <v>13</v>
      </c>
      <c r="J34" s="8">
        <f t="shared" si="6"/>
        <v>62</v>
      </c>
      <c r="K34" s="12">
        <f t="shared" si="4"/>
        <v>3967008.2231999999</v>
      </c>
    </row>
    <row r="35" spans="1:11" x14ac:dyDescent="0.25">
      <c r="A35" s="41" t="s">
        <v>24</v>
      </c>
      <c r="B35" s="219">
        <v>710.4</v>
      </c>
      <c r="C35" s="236">
        <v>656.97</v>
      </c>
      <c r="D35" s="14">
        <f t="shared" si="5"/>
        <v>0.92478885135135147</v>
      </c>
      <c r="E35" s="13">
        <v>109.18</v>
      </c>
      <c r="F35" s="8">
        <f t="shared" si="0"/>
        <v>100.96844679054055</v>
      </c>
      <c r="G35" s="7">
        <f t="shared" si="1"/>
        <v>7</v>
      </c>
      <c r="H35" s="8">
        <f t="shared" si="2"/>
        <v>8.2115532094594528</v>
      </c>
      <c r="I35" s="7">
        <f t="shared" si="3"/>
        <v>1</v>
      </c>
      <c r="J35" s="8">
        <f t="shared" si="6"/>
        <v>8</v>
      </c>
      <c r="K35" s="12">
        <f t="shared" si="4"/>
        <v>511872.02879999997</v>
      </c>
    </row>
    <row r="36" spans="1:11" x14ac:dyDescent="0.25">
      <c r="A36" s="41" t="s">
        <v>25</v>
      </c>
      <c r="B36" s="219">
        <v>2753.54</v>
      </c>
      <c r="C36" s="236">
        <v>2395.11</v>
      </c>
      <c r="D36" s="14">
        <f t="shared" si="5"/>
        <v>0.8698293832666314</v>
      </c>
      <c r="E36" s="13">
        <v>457.37</v>
      </c>
      <c r="F36" s="8">
        <f t="shared" si="0"/>
        <v>397.83386502465919</v>
      </c>
      <c r="G36" s="7">
        <f t="shared" si="1"/>
        <v>25</v>
      </c>
      <c r="H36" s="8">
        <f t="shared" si="2"/>
        <v>59.536134975340815</v>
      </c>
      <c r="I36" s="7">
        <f t="shared" si="3"/>
        <v>3</v>
      </c>
      <c r="J36" s="8">
        <f t="shared" si="6"/>
        <v>28</v>
      </c>
      <c r="K36" s="12">
        <f t="shared" si="4"/>
        <v>1791552.1007999999</v>
      </c>
    </row>
    <row r="37" spans="1:11" x14ac:dyDescent="0.25">
      <c r="A37" s="41" t="s">
        <v>26</v>
      </c>
      <c r="B37" s="219">
        <v>1253.3399999999999</v>
      </c>
      <c r="C37" s="236">
        <v>789.47</v>
      </c>
      <c r="D37" s="14">
        <f t="shared" si="5"/>
        <v>0.62989292610145697</v>
      </c>
      <c r="E37" s="13">
        <v>199.17000000000002</v>
      </c>
      <c r="F37" s="8">
        <f t="shared" si="0"/>
        <v>125.45577409162719</v>
      </c>
      <c r="G37" s="7">
        <f t="shared" si="1"/>
        <v>8</v>
      </c>
      <c r="H37" s="8">
        <f t="shared" si="2"/>
        <v>73.714225908372825</v>
      </c>
      <c r="I37" s="7">
        <f t="shared" si="3"/>
        <v>4</v>
      </c>
      <c r="J37" s="8">
        <f t="shared" si="6"/>
        <v>12</v>
      </c>
      <c r="K37" s="12">
        <f t="shared" si="4"/>
        <v>767808.04319999996</v>
      </c>
    </row>
    <row r="38" spans="1:11" x14ac:dyDescent="0.25">
      <c r="A38" s="41" t="s">
        <v>27</v>
      </c>
      <c r="B38" s="219">
        <v>5263.6</v>
      </c>
      <c r="C38" s="236">
        <v>4431.29</v>
      </c>
      <c r="D38" s="14">
        <f t="shared" si="5"/>
        <v>0.84187438255186553</v>
      </c>
      <c r="E38" s="13">
        <v>797.01</v>
      </c>
      <c r="F38" s="8">
        <f t="shared" si="0"/>
        <v>670.98230163766232</v>
      </c>
      <c r="G38" s="7">
        <f t="shared" si="1"/>
        <v>41</v>
      </c>
      <c r="H38" s="8">
        <f t="shared" si="2"/>
        <v>126.02769836233767</v>
      </c>
      <c r="I38" s="7">
        <f t="shared" si="3"/>
        <v>6</v>
      </c>
      <c r="J38" s="8">
        <f t="shared" si="6"/>
        <v>47</v>
      </c>
      <c r="K38" s="12">
        <f t="shared" si="4"/>
        <v>3007248.1691999999</v>
      </c>
    </row>
    <row r="39" spans="1:11" x14ac:dyDescent="0.25">
      <c r="A39" s="41" t="s">
        <v>28</v>
      </c>
      <c r="B39" s="219">
        <v>9606.7099999999991</v>
      </c>
      <c r="C39" s="236">
        <v>7456.46</v>
      </c>
      <c r="D39" s="14">
        <f t="shared" si="5"/>
        <v>0.77617207139593059</v>
      </c>
      <c r="E39" s="13">
        <v>1569.6</v>
      </c>
      <c r="F39" s="8">
        <f t="shared" si="0"/>
        <v>1218.2796832630527</v>
      </c>
      <c r="G39" s="7">
        <f t="shared" si="1"/>
        <v>74</v>
      </c>
      <c r="H39" s="8">
        <f t="shared" si="2"/>
        <v>351.32031673694723</v>
      </c>
      <c r="I39" s="7">
        <f t="shared" si="3"/>
        <v>17</v>
      </c>
      <c r="J39" s="8">
        <f t="shared" si="6"/>
        <v>91</v>
      </c>
      <c r="K39" s="12">
        <f t="shared" si="4"/>
        <v>5822544.3275999995</v>
      </c>
    </row>
    <row r="40" spans="1:11" x14ac:dyDescent="0.25">
      <c r="A40" s="41" t="s">
        <v>29</v>
      </c>
      <c r="B40" s="219">
        <v>1528.03</v>
      </c>
      <c r="C40" s="236">
        <v>1086.46</v>
      </c>
      <c r="D40" s="14">
        <f t="shared" si="5"/>
        <v>0.711020071595453</v>
      </c>
      <c r="E40" s="13">
        <v>235.53</v>
      </c>
      <c r="F40" s="8">
        <f t="shared" si="0"/>
        <v>167.46655746287703</v>
      </c>
      <c r="G40" s="7">
        <f t="shared" si="1"/>
        <v>11</v>
      </c>
      <c r="H40" s="8">
        <f t="shared" si="2"/>
        <v>68.063442537122967</v>
      </c>
      <c r="I40" s="7">
        <f t="shared" si="3"/>
        <v>4</v>
      </c>
      <c r="J40" s="8">
        <f t="shared" si="6"/>
        <v>15</v>
      </c>
      <c r="K40" s="12">
        <f t="shared" si="4"/>
        <v>959760.054</v>
      </c>
    </row>
    <row r="41" spans="1:11" x14ac:dyDescent="0.25">
      <c r="A41" s="41" t="s">
        <v>30</v>
      </c>
      <c r="B41" s="219">
        <v>3982.19</v>
      </c>
      <c r="C41" s="236">
        <v>3716.77</v>
      </c>
      <c r="D41" s="14">
        <f t="shared" si="5"/>
        <v>0.93334823300746572</v>
      </c>
      <c r="E41" s="13">
        <v>607.70000000000005</v>
      </c>
      <c r="F41" s="8">
        <f t="shared" si="0"/>
        <v>567.19572119863699</v>
      </c>
      <c r="G41" s="7">
        <f t="shared" si="1"/>
        <v>35</v>
      </c>
      <c r="H41" s="8">
        <f t="shared" si="2"/>
        <v>40.504278801363057</v>
      </c>
      <c r="I41" s="7">
        <f t="shared" si="3"/>
        <v>2</v>
      </c>
      <c r="J41" s="8">
        <f t="shared" si="6"/>
        <v>37</v>
      </c>
      <c r="K41" s="12">
        <f t="shared" si="4"/>
        <v>2367408.1332</v>
      </c>
    </row>
    <row r="42" spans="1:11" x14ac:dyDescent="0.25">
      <c r="A42" s="41" t="s">
        <v>31</v>
      </c>
      <c r="B42" s="219">
        <v>25440.37</v>
      </c>
      <c r="C42" s="236">
        <v>13001.24</v>
      </c>
      <c r="D42" s="14">
        <f t="shared" si="5"/>
        <v>0.51104759875740802</v>
      </c>
      <c r="E42" s="13">
        <v>4048.1499999999996</v>
      </c>
      <c r="F42" s="8">
        <f t="shared" si="0"/>
        <v>2068.7973369098013</v>
      </c>
      <c r="G42" s="7">
        <f t="shared" si="1"/>
        <v>126</v>
      </c>
      <c r="H42" s="8">
        <f t="shared" si="2"/>
        <v>1979.3526630901983</v>
      </c>
      <c r="I42" s="7">
        <f t="shared" si="3"/>
        <v>93</v>
      </c>
      <c r="J42" s="8">
        <f t="shared" si="6"/>
        <v>219</v>
      </c>
      <c r="K42" s="12">
        <f t="shared" si="4"/>
        <v>14012496.7884</v>
      </c>
    </row>
    <row r="43" spans="1:11" x14ac:dyDescent="0.25">
      <c r="A43" s="41" t="s">
        <v>32</v>
      </c>
      <c r="B43" s="219">
        <v>2145.29</v>
      </c>
      <c r="C43" s="236">
        <v>1651.18</v>
      </c>
      <c r="D43" s="14">
        <f t="shared" si="5"/>
        <v>0.76967682690918249</v>
      </c>
      <c r="E43" s="13">
        <v>300.83000000000004</v>
      </c>
      <c r="F43" s="8">
        <f t="shared" si="0"/>
        <v>231.5418798390894</v>
      </c>
      <c r="G43" s="7">
        <f t="shared" si="1"/>
        <v>15</v>
      </c>
      <c r="H43" s="8">
        <f t="shared" si="2"/>
        <v>69.288120160910637</v>
      </c>
      <c r="I43" s="7">
        <f t="shared" si="3"/>
        <v>4</v>
      </c>
      <c r="J43" s="8">
        <f t="shared" si="6"/>
        <v>19</v>
      </c>
      <c r="K43" s="12">
        <f t="shared" si="4"/>
        <v>1215696.0684</v>
      </c>
    </row>
    <row r="44" spans="1:11" x14ac:dyDescent="0.25">
      <c r="A44" s="41" t="s">
        <v>33</v>
      </c>
      <c r="B44" s="219">
        <v>3224.83</v>
      </c>
      <c r="C44" s="236">
        <v>2075.11</v>
      </c>
      <c r="D44" s="14">
        <f t="shared" si="5"/>
        <v>0.64347888105729611</v>
      </c>
      <c r="E44" s="13">
        <v>589.48</v>
      </c>
      <c r="F44" s="8">
        <f t="shared" si="0"/>
        <v>379.31793080565495</v>
      </c>
      <c r="G44" s="7">
        <f t="shared" si="1"/>
        <v>23</v>
      </c>
      <c r="H44" s="8">
        <f t="shared" si="2"/>
        <v>210.16206919434507</v>
      </c>
      <c r="I44" s="7">
        <f t="shared" si="3"/>
        <v>10</v>
      </c>
      <c r="J44" s="8">
        <f t="shared" si="6"/>
        <v>33</v>
      </c>
      <c r="K44" s="12">
        <f t="shared" si="4"/>
        <v>2111472.1187999998</v>
      </c>
    </row>
    <row r="45" spans="1:11" x14ac:dyDescent="0.25">
      <c r="A45" s="41" t="s">
        <v>34</v>
      </c>
      <c r="B45" s="219">
        <v>2373.3200000000002</v>
      </c>
      <c r="C45" s="236">
        <v>2070.19</v>
      </c>
      <c r="D45" s="14">
        <f t="shared" si="5"/>
        <v>0.87227596784251593</v>
      </c>
      <c r="E45" s="13">
        <v>419.53</v>
      </c>
      <c r="F45" s="8">
        <f t="shared" si="0"/>
        <v>365.9459367889707</v>
      </c>
      <c r="G45" s="7">
        <f t="shared" si="1"/>
        <v>23</v>
      </c>
      <c r="H45" s="8">
        <f t="shared" si="2"/>
        <v>53.584063211029274</v>
      </c>
      <c r="I45" s="7">
        <f t="shared" si="3"/>
        <v>3</v>
      </c>
      <c r="J45" s="8">
        <f t="shared" si="6"/>
        <v>26</v>
      </c>
      <c r="K45" s="12">
        <f t="shared" si="4"/>
        <v>1663584.0935999998</v>
      </c>
    </row>
    <row r="46" spans="1:11" x14ac:dyDescent="0.25">
      <c r="A46" s="41" t="s">
        <v>35</v>
      </c>
      <c r="B46" s="219">
        <v>15667.43</v>
      </c>
      <c r="C46" s="236">
        <v>10603.64</v>
      </c>
      <c r="D46" s="14">
        <f t="shared" si="5"/>
        <v>0.67679510934467235</v>
      </c>
      <c r="E46" s="13">
        <v>2490.58</v>
      </c>
      <c r="F46" s="8">
        <f t="shared" si="0"/>
        <v>1685.6123634316541</v>
      </c>
      <c r="G46" s="7">
        <f t="shared" si="1"/>
        <v>103</v>
      </c>
      <c r="H46" s="8">
        <f t="shared" si="2"/>
        <v>804.96763656834582</v>
      </c>
      <c r="I46" s="7">
        <f t="shared" si="3"/>
        <v>38</v>
      </c>
      <c r="J46" s="8">
        <f t="shared" si="6"/>
        <v>141</v>
      </c>
      <c r="K46" s="12">
        <f t="shared" si="4"/>
        <v>9021744.5076000001</v>
      </c>
    </row>
    <row r="47" spans="1:11" x14ac:dyDescent="0.25">
      <c r="A47" s="41" t="s">
        <v>36</v>
      </c>
      <c r="B47" s="219">
        <v>1091.3900000000001</v>
      </c>
      <c r="C47" s="236">
        <v>772.62</v>
      </c>
      <c r="D47" s="14">
        <f t="shared" si="5"/>
        <v>0.70792292397767975</v>
      </c>
      <c r="E47" s="13">
        <v>142.22999999999999</v>
      </c>
      <c r="F47" s="8">
        <f t="shared" ref="F47:F78" si="7">E47*D47</f>
        <v>100.68787747734538</v>
      </c>
      <c r="G47" s="7">
        <f t="shared" ref="G47:G78" si="8">ROUNDUP((F47/$F$4),0)</f>
        <v>7</v>
      </c>
      <c r="H47" s="8">
        <f t="shared" ref="H47:H78" si="9">E47-F47</f>
        <v>41.542122522654608</v>
      </c>
      <c r="I47" s="7">
        <f t="shared" ref="I47:I78" si="10">ROUNDUP((H47/$F$5),0)</f>
        <v>2</v>
      </c>
      <c r="J47" s="8">
        <f t="shared" si="6"/>
        <v>9</v>
      </c>
      <c r="K47" s="12">
        <f t="shared" ref="K47:K78" si="11">J47*$B$7</f>
        <v>575856.03239999991</v>
      </c>
    </row>
    <row r="48" spans="1:11" x14ac:dyDescent="0.25">
      <c r="A48" s="41" t="s">
        <v>37</v>
      </c>
      <c r="B48" s="219">
        <v>3269.06</v>
      </c>
      <c r="C48" s="236">
        <v>2915.7</v>
      </c>
      <c r="D48" s="14">
        <f t="shared" si="5"/>
        <v>0.89190776553504669</v>
      </c>
      <c r="E48" s="13">
        <v>501.26</v>
      </c>
      <c r="F48" s="8">
        <f t="shared" si="7"/>
        <v>447.07768655209748</v>
      </c>
      <c r="G48" s="7">
        <f t="shared" si="8"/>
        <v>28</v>
      </c>
      <c r="H48" s="8">
        <f t="shared" si="9"/>
        <v>54.182313447902516</v>
      </c>
      <c r="I48" s="7">
        <f t="shared" si="10"/>
        <v>3</v>
      </c>
      <c r="J48" s="8">
        <f t="shared" si="6"/>
        <v>31</v>
      </c>
      <c r="K48" s="12">
        <f t="shared" si="11"/>
        <v>1983504.1115999999</v>
      </c>
    </row>
    <row r="49" spans="1:11" x14ac:dyDescent="0.25">
      <c r="A49" s="41" t="s">
        <v>38</v>
      </c>
      <c r="B49" s="219">
        <v>656.05</v>
      </c>
      <c r="C49" s="236">
        <v>619.41</v>
      </c>
      <c r="D49" s="14">
        <f t="shared" si="5"/>
        <v>0.94415059827757031</v>
      </c>
      <c r="E49" s="13">
        <v>111</v>
      </c>
      <c r="F49" s="8">
        <f t="shared" si="7"/>
        <v>104.8007164088103</v>
      </c>
      <c r="G49" s="7">
        <f t="shared" si="8"/>
        <v>7</v>
      </c>
      <c r="H49" s="8">
        <f t="shared" si="9"/>
        <v>6.1992835911896975</v>
      </c>
      <c r="I49" s="7">
        <f t="shared" si="10"/>
        <v>1</v>
      </c>
      <c r="J49" s="8">
        <f t="shared" si="6"/>
        <v>8</v>
      </c>
      <c r="K49" s="12">
        <f t="shared" si="11"/>
        <v>511872.02879999997</v>
      </c>
    </row>
    <row r="50" spans="1:11" x14ac:dyDescent="0.25">
      <c r="A50" s="41" t="s">
        <v>39</v>
      </c>
      <c r="B50" s="219">
        <v>1181.8699999999999</v>
      </c>
      <c r="C50" s="236">
        <v>827.32</v>
      </c>
      <c r="D50" s="14">
        <f t="shared" si="5"/>
        <v>0.70000930728421917</v>
      </c>
      <c r="E50" s="13">
        <v>184.8</v>
      </c>
      <c r="F50" s="8">
        <f t="shared" si="7"/>
        <v>129.36171998612372</v>
      </c>
      <c r="G50" s="7">
        <f t="shared" si="8"/>
        <v>8</v>
      </c>
      <c r="H50" s="8">
        <f t="shared" si="9"/>
        <v>55.438280013876295</v>
      </c>
      <c r="I50" s="7">
        <f t="shared" si="10"/>
        <v>3</v>
      </c>
      <c r="J50" s="8">
        <f t="shared" si="6"/>
        <v>11</v>
      </c>
      <c r="K50" s="12">
        <f t="shared" si="11"/>
        <v>703824.03960000002</v>
      </c>
    </row>
    <row r="51" spans="1:11" x14ac:dyDescent="0.25">
      <c r="A51" s="41" t="s">
        <v>40</v>
      </c>
      <c r="B51" s="219">
        <v>8929.7900000000009</v>
      </c>
      <c r="C51" s="236">
        <v>6097.28</v>
      </c>
      <c r="D51" s="14">
        <f t="shared" si="5"/>
        <v>0.68280217115968</v>
      </c>
      <c r="E51" s="13">
        <v>1431.4899999999998</v>
      </c>
      <c r="F51" s="8">
        <f t="shared" si="7"/>
        <v>977.42447999337014</v>
      </c>
      <c r="G51" s="7">
        <f t="shared" si="8"/>
        <v>60</v>
      </c>
      <c r="H51" s="8">
        <f t="shared" si="9"/>
        <v>454.06552000662964</v>
      </c>
      <c r="I51" s="7">
        <f t="shared" si="10"/>
        <v>22</v>
      </c>
      <c r="J51" s="8">
        <f t="shared" si="6"/>
        <v>82</v>
      </c>
      <c r="K51" s="12">
        <f t="shared" si="11"/>
        <v>5246688.2951999996</v>
      </c>
    </row>
    <row r="52" spans="1:11" x14ac:dyDescent="0.25">
      <c r="A52" s="41" t="s">
        <v>41</v>
      </c>
      <c r="B52" s="219">
        <v>74161.66</v>
      </c>
      <c r="C52" s="236">
        <v>40174.94</v>
      </c>
      <c r="D52" s="14">
        <f t="shared" si="5"/>
        <v>0.54172115349090078</v>
      </c>
      <c r="E52" s="13">
        <v>11620.060000000001</v>
      </c>
      <c r="F52" s="8">
        <f t="shared" si="7"/>
        <v>6294.8323068334776</v>
      </c>
      <c r="G52" s="7">
        <f t="shared" si="8"/>
        <v>382</v>
      </c>
      <c r="H52" s="8">
        <f t="shared" si="9"/>
        <v>5325.2276931665237</v>
      </c>
      <c r="I52" s="7">
        <f t="shared" si="10"/>
        <v>248</v>
      </c>
      <c r="J52" s="8">
        <f t="shared" si="6"/>
        <v>630</v>
      </c>
      <c r="K52" s="12">
        <f t="shared" si="11"/>
        <v>40309922.267999999</v>
      </c>
    </row>
    <row r="53" spans="1:11" x14ac:dyDescent="0.25">
      <c r="A53" s="41" t="s">
        <v>42</v>
      </c>
      <c r="B53" s="219">
        <v>8515.0300000000007</v>
      </c>
      <c r="C53" s="236">
        <v>6247.89</v>
      </c>
      <c r="D53" s="14">
        <f t="shared" si="5"/>
        <v>0.73374844245997961</v>
      </c>
      <c r="E53" s="13">
        <v>1289.27</v>
      </c>
      <c r="F53" s="8">
        <f t="shared" si="7"/>
        <v>945.99985441037791</v>
      </c>
      <c r="G53" s="7">
        <f t="shared" si="8"/>
        <v>58</v>
      </c>
      <c r="H53" s="8">
        <f t="shared" si="9"/>
        <v>343.27014558962208</v>
      </c>
      <c r="I53" s="7">
        <f t="shared" si="10"/>
        <v>16</v>
      </c>
      <c r="J53" s="8">
        <f t="shared" si="6"/>
        <v>74</v>
      </c>
      <c r="K53" s="12">
        <f t="shared" si="11"/>
        <v>4734816.2664000001</v>
      </c>
    </row>
    <row r="54" spans="1:11" x14ac:dyDescent="0.25">
      <c r="A54" s="41" t="s">
        <v>43</v>
      </c>
      <c r="B54" s="219">
        <v>898.58</v>
      </c>
      <c r="C54" s="236">
        <v>677.73</v>
      </c>
      <c r="D54" s="14">
        <f t="shared" si="5"/>
        <v>0.75422333014311471</v>
      </c>
      <c r="E54" s="13">
        <v>124.52</v>
      </c>
      <c r="F54" s="8">
        <f t="shared" si="7"/>
        <v>93.915889069420643</v>
      </c>
      <c r="G54" s="7">
        <f t="shared" si="8"/>
        <v>6</v>
      </c>
      <c r="H54" s="8">
        <f t="shared" si="9"/>
        <v>30.604110930579353</v>
      </c>
      <c r="I54" s="7">
        <f t="shared" si="10"/>
        <v>2</v>
      </c>
      <c r="J54" s="8">
        <f t="shared" si="6"/>
        <v>8</v>
      </c>
      <c r="K54" s="12">
        <f t="shared" si="11"/>
        <v>511872.02879999997</v>
      </c>
    </row>
    <row r="55" spans="1:11" x14ac:dyDescent="0.25">
      <c r="A55" s="41" t="s">
        <v>44</v>
      </c>
      <c r="B55" s="219">
        <v>1516.32</v>
      </c>
      <c r="C55" s="236">
        <v>927.29</v>
      </c>
      <c r="D55" s="14">
        <f t="shared" si="5"/>
        <v>0.61153978052126201</v>
      </c>
      <c r="E55" s="13">
        <v>245.46</v>
      </c>
      <c r="F55" s="8">
        <f t="shared" si="7"/>
        <v>150.10855452674897</v>
      </c>
      <c r="G55" s="7">
        <f t="shared" si="8"/>
        <v>10</v>
      </c>
      <c r="H55" s="8">
        <f t="shared" si="9"/>
        <v>95.351445473251033</v>
      </c>
      <c r="I55" s="7">
        <f t="shared" si="10"/>
        <v>5</v>
      </c>
      <c r="J55" s="8">
        <f t="shared" si="6"/>
        <v>15</v>
      </c>
      <c r="K55" s="12">
        <f t="shared" si="11"/>
        <v>959760.054</v>
      </c>
    </row>
    <row r="56" spans="1:11" x14ac:dyDescent="0.25">
      <c r="A56" s="41" t="s">
        <v>45</v>
      </c>
      <c r="B56" s="219">
        <v>2087.65</v>
      </c>
      <c r="C56" s="236">
        <v>1641.59</v>
      </c>
      <c r="D56" s="14">
        <f t="shared" si="5"/>
        <v>0.78633391612578729</v>
      </c>
      <c r="E56" s="13">
        <v>340.94</v>
      </c>
      <c r="F56" s="8">
        <f t="shared" si="7"/>
        <v>268.09268536392591</v>
      </c>
      <c r="G56" s="7">
        <f t="shared" si="8"/>
        <v>17</v>
      </c>
      <c r="H56" s="8">
        <f t="shared" si="9"/>
        <v>72.847314636074088</v>
      </c>
      <c r="I56" s="7">
        <f t="shared" si="10"/>
        <v>4</v>
      </c>
      <c r="J56" s="8">
        <f t="shared" si="6"/>
        <v>21</v>
      </c>
      <c r="K56" s="12">
        <f t="shared" si="11"/>
        <v>1343664.0755999999</v>
      </c>
    </row>
    <row r="57" spans="1:11" x14ac:dyDescent="0.25">
      <c r="A57" s="41" t="s">
        <v>46</v>
      </c>
      <c r="B57" s="219">
        <v>662.1</v>
      </c>
      <c r="C57" s="236">
        <v>607.41</v>
      </c>
      <c r="D57" s="14">
        <f t="shared" si="5"/>
        <v>0.91739918441323054</v>
      </c>
      <c r="E57" s="13">
        <v>114.8</v>
      </c>
      <c r="F57" s="8">
        <f t="shared" si="7"/>
        <v>105.31742637063887</v>
      </c>
      <c r="G57" s="7">
        <f t="shared" si="8"/>
        <v>7</v>
      </c>
      <c r="H57" s="8">
        <f t="shared" si="9"/>
        <v>9.4825736293611271</v>
      </c>
      <c r="I57" s="7">
        <f t="shared" si="10"/>
        <v>1</v>
      </c>
      <c r="J57" s="8">
        <f t="shared" si="6"/>
        <v>8</v>
      </c>
      <c r="K57" s="12">
        <f t="shared" si="11"/>
        <v>511872.02879999997</v>
      </c>
    </row>
    <row r="58" spans="1:11" x14ac:dyDescent="0.25">
      <c r="A58" s="41" t="s">
        <v>47</v>
      </c>
      <c r="B58" s="219">
        <v>43529.94</v>
      </c>
      <c r="C58" s="236">
        <v>28552.12</v>
      </c>
      <c r="D58" s="14">
        <f t="shared" si="5"/>
        <v>0.65591912141390496</v>
      </c>
      <c r="E58" s="13">
        <v>6929.97</v>
      </c>
      <c r="F58" s="8">
        <f t="shared" si="7"/>
        <v>4545.4998338247187</v>
      </c>
      <c r="G58" s="7">
        <f t="shared" si="8"/>
        <v>276</v>
      </c>
      <c r="H58" s="8">
        <f t="shared" si="9"/>
        <v>2384.4701661752815</v>
      </c>
      <c r="I58" s="7">
        <f t="shared" si="10"/>
        <v>111</v>
      </c>
      <c r="J58" s="8">
        <f t="shared" si="6"/>
        <v>387</v>
      </c>
      <c r="K58" s="12">
        <f t="shared" si="11"/>
        <v>24761809.393199999</v>
      </c>
    </row>
    <row r="59" spans="1:11" x14ac:dyDescent="0.25">
      <c r="A59" s="41" t="s">
        <v>48</v>
      </c>
      <c r="B59" s="219">
        <v>2404.8000000000002</v>
      </c>
      <c r="C59" s="236">
        <v>2167.39</v>
      </c>
      <c r="D59" s="14">
        <f t="shared" si="5"/>
        <v>0.90127661343978693</v>
      </c>
      <c r="E59" s="13">
        <v>313.84000000000003</v>
      </c>
      <c r="F59" s="8">
        <f t="shared" si="7"/>
        <v>282.85665236194274</v>
      </c>
      <c r="G59" s="7">
        <f t="shared" si="8"/>
        <v>18</v>
      </c>
      <c r="H59" s="8">
        <f t="shared" si="9"/>
        <v>30.983347638057296</v>
      </c>
      <c r="I59" s="7">
        <f t="shared" si="10"/>
        <v>2</v>
      </c>
      <c r="J59" s="8">
        <f t="shared" si="6"/>
        <v>20</v>
      </c>
      <c r="K59" s="12">
        <f t="shared" si="11"/>
        <v>1279680.0719999999</v>
      </c>
    </row>
    <row r="60" spans="1:11" x14ac:dyDescent="0.25">
      <c r="A60" s="41" t="s">
        <v>49</v>
      </c>
      <c r="B60" s="219">
        <v>10525.82</v>
      </c>
      <c r="C60" s="236">
        <v>6404.09</v>
      </c>
      <c r="D60" s="14">
        <f t="shared" si="5"/>
        <v>0.60841720645042385</v>
      </c>
      <c r="E60" s="13">
        <v>1710.67</v>
      </c>
      <c r="F60" s="8">
        <f t="shared" si="7"/>
        <v>1040.8010625585466</v>
      </c>
      <c r="G60" s="7">
        <f t="shared" si="8"/>
        <v>64</v>
      </c>
      <c r="H60" s="8">
        <f t="shared" si="9"/>
        <v>669.86893744145345</v>
      </c>
      <c r="I60" s="7">
        <f t="shared" si="10"/>
        <v>32</v>
      </c>
      <c r="J60" s="8">
        <f t="shared" si="6"/>
        <v>96</v>
      </c>
      <c r="K60" s="12">
        <f t="shared" si="11"/>
        <v>6142464.3455999997</v>
      </c>
    </row>
    <row r="61" spans="1:11" x14ac:dyDescent="0.25">
      <c r="A61" s="41" t="s">
        <v>50</v>
      </c>
      <c r="B61" s="219">
        <v>13258.42</v>
      </c>
      <c r="C61" s="236">
        <v>7286.27</v>
      </c>
      <c r="D61" s="14">
        <f t="shared" si="5"/>
        <v>0.54955794129315561</v>
      </c>
      <c r="E61" s="13">
        <v>2056.42</v>
      </c>
      <c r="F61" s="8">
        <f t="shared" si="7"/>
        <v>1130.1219416340712</v>
      </c>
      <c r="G61" s="7">
        <f t="shared" si="8"/>
        <v>69</v>
      </c>
      <c r="H61" s="8">
        <f t="shared" si="9"/>
        <v>926.29805836592891</v>
      </c>
      <c r="I61" s="7">
        <f t="shared" si="10"/>
        <v>44</v>
      </c>
      <c r="J61" s="8">
        <f t="shared" si="6"/>
        <v>113</v>
      </c>
      <c r="K61" s="12">
        <f t="shared" si="11"/>
        <v>7230192.4068</v>
      </c>
    </row>
    <row r="62" spans="1:11" x14ac:dyDescent="0.25">
      <c r="A62" s="41" t="s">
        <v>51</v>
      </c>
      <c r="B62" s="219">
        <v>5388.16</v>
      </c>
      <c r="C62" s="236">
        <v>4016.61</v>
      </c>
      <c r="D62" s="14">
        <f t="shared" si="5"/>
        <v>0.74545113730846901</v>
      </c>
      <c r="E62" s="13">
        <v>833.93000000000006</v>
      </c>
      <c r="F62" s="8">
        <f t="shared" si="7"/>
        <v>621.6540669356516</v>
      </c>
      <c r="G62" s="7">
        <f t="shared" si="8"/>
        <v>38</v>
      </c>
      <c r="H62" s="8">
        <f t="shared" si="9"/>
        <v>212.27593306434846</v>
      </c>
      <c r="I62" s="7">
        <f t="shared" si="10"/>
        <v>10</v>
      </c>
      <c r="J62" s="8">
        <f t="shared" si="6"/>
        <v>48</v>
      </c>
      <c r="K62" s="12">
        <f t="shared" si="11"/>
        <v>3071232.1727999998</v>
      </c>
    </row>
    <row r="63" spans="1:11" x14ac:dyDescent="0.25">
      <c r="A63" s="41" t="s">
        <v>52</v>
      </c>
      <c r="B63" s="219">
        <v>2979.52</v>
      </c>
      <c r="C63" s="236">
        <v>2390.0300000000002</v>
      </c>
      <c r="D63" s="14">
        <f t="shared" si="5"/>
        <v>0.80215269573622605</v>
      </c>
      <c r="E63" s="13">
        <v>462.73</v>
      </c>
      <c r="F63" s="8">
        <f t="shared" si="7"/>
        <v>371.18011689802387</v>
      </c>
      <c r="G63" s="7">
        <f t="shared" si="8"/>
        <v>23</v>
      </c>
      <c r="H63" s="8">
        <f t="shared" si="9"/>
        <v>91.54988310197615</v>
      </c>
      <c r="I63" s="7">
        <f t="shared" si="10"/>
        <v>5</v>
      </c>
      <c r="J63" s="8">
        <f t="shared" si="6"/>
        <v>28</v>
      </c>
      <c r="K63" s="12">
        <f t="shared" si="11"/>
        <v>1791552.1007999999</v>
      </c>
    </row>
    <row r="64" spans="1:11" x14ac:dyDescent="0.25">
      <c r="A64" s="41" t="s">
        <v>53</v>
      </c>
      <c r="B64" s="219">
        <v>1729.85</v>
      </c>
      <c r="C64" s="236">
        <v>1597.53</v>
      </c>
      <c r="D64" s="14">
        <f t="shared" si="5"/>
        <v>0.92350781859698816</v>
      </c>
      <c r="E64" s="13">
        <v>271.52999999999997</v>
      </c>
      <c r="F64" s="8">
        <f t="shared" si="7"/>
        <v>250.76007798364017</v>
      </c>
      <c r="G64" s="7">
        <f t="shared" si="8"/>
        <v>16</v>
      </c>
      <c r="H64" s="8">
        <f t="shared" si="9"/>
        <v>20.7699220163598</v>
      </c>
      <c r="I64" s="7">
        <f t="shared" si="10"/>
        <v>1</v>
      </c>
      <c r="J64" s="8">
        <f t="shared" si="6"/>
        <v>17</v>
      </c>
      <c r="K64" s="12">
        <f t="shared" si="11"/>
        <v>1087728.0611999999</v>
      </c>
    </row>
    <row r="65" spans="1:11" x14ac:dyDescent="0.25">
      <c r="A65" s="41" t="s">
        <v>54</v>
      </c>
      <c r="B65" s="219">
        <v>25998.85</v>
      </c>
      <c r="C65" s="236">
        <v>11560.42</v>
      </c>
      <c r="D65" s="14">
        <f t="shared" si="5"/>
        <v>0.44465120572640715</v>
      </c>
      <c r="E65" s="13">
        <v>4166.95</v>
      </c>
      <c r="F65" s="8">
        <f t="shared" si="7"/>
        <v>1852.8393417016523</v>
      </c>
      <c r="G65" s="7">
        <f t="shared" si="8"/>
        <v>113</v>
      </c>
      <c r="H65" s="8">
        <f t="shared" si="9"/>
        <v>2314.1106582983475</v>
      </c>
      <c r="I65" s="7">
        <f t="shared" si="10"/>
        <v>108</v>
      </c>
      <c r="J65" s="8">
        <f t="shared" si="6"/>
        <v>221</v>
      </c>
      <c r="K65" s="12">
        <f t="shared" si="11"/>
        <v>14140464.795599999</v>
      </c>
    </row>
    <row r="66" spans="1:11" x14ac:dyDescent="0.25">
      <c r="A66" s="41" t="s">
        <v>55</v>
      </c>
      <c r="B66" s="219">
        <v>8632.56</v>
      </c>
      <c r="C66" s="236">
        <v>6583.08</v>
      </c>
      <c r="D66" s="14">
        <f t="shared" si="5"/>
        <v>0.76258722789068367</v>
      </c>
      <c r="E66" s="13">
        <v>1403.82</v>
      </c>
      <c r="F66" s="8">
        <f t="shared" si="7"/>
        <v>1070.5352022574996</v>
      </c>
      <c r="G66" s="7">
        <f t="shared" si="8"/>
        <v>65</v>
      </c>
      <c r="H66" s="8">
        <f t="shared" si="9"/>
        <v>333.28479774250036</v>
      </c>
      <c r="I66" s="7">
        <f t="shared" si="10"/>
        <v>16</v>
      </c>
      <c r="J66" s="8">
        <f t="shared" si="6"/>
        <v>81</v>
      </c>
      <c r="K66" s="12">
        <f t="shared" si="11"/>
        <v>5182704.2916000001</v>
      </c>
    </row>
    <row r="67" spans="1:11" x14ac:dyDescent="0.25">
      <c r="A67" s="41" t="s">
        <v>56</v>
      </c>
      <c r="B67" s="219">
        <v>1939.18</v>
      </c>
      <c r="C67" s="236">
        <v>1384.39</v>
      </c>
      <c r="D67" s="14">
        <f t="shared" si="5"/>
        <v>0.71390484637836615</v>
      </c>
      <c r="E67" s="13">
        <v>264.71000000000004</v>
      </c>
      <c r="F67" s="8">
        <f t="shared" si="7"/>
        <v>188.97775188481734</v>
      </c>
      <c r="G67" s="7">
        <f t="shared" si="8"/>
        <v>12</v>
      </c>
      <c r="H67" s="8">
        <f t="shared" si="9"/>
        <v>75.732248115182699</v>
      </c>
      <c r="I67" s="7">
        <f t="shared" si="10"/>
        <v>4</v>
      </c>
      <c r="J67" s="8">
        <f t="shared" si="6"/>
        <v>16</v>
      </c>
      <c r="K67" s="12">
        <f t="shared" si="11"/>
        <v>1023744.0575999999</v>
      </c>
    </row>
    <row r="68" spans="1:11" x14ac:dyDescent="0.25">
      <c r="A68" s="41" t="s">
        <v>57</v>
      </c>
      <c r="B68" s="219">
        <v>3124.12</v>
      </c>
      <c r="C68" s="236">
        <v>2504.67</v>
      </c>
      <c r="D68" s="14">
        <f t="shared" si="5"/>
        <v>0.80172016439829463</v>
      </c>
      <c r="E68" s="13">
        <v>517.02</v>
      </c>
      <c r="F68" s="8">
        <f t="shared" si="7"/>
        <v>414.50535939720629</v>
      </c>
      <c r="G68" s="7">
        <f t="shared" si="8"/>
        <v>26</v>
      </c>
      <c r="H68" s="8">
        <f t="shared" si="9"/>
        <v>102.51464060279369</v>
      </c>
      <c r="I68" s="7">
        <f t="shared" si="10"/>
        <v>5</v>
      </c>
      <c r="J68" s="8">
        <f t="shared" si="6"/>
        <v>31</v>
      </c>
      <c r="K68" s="12">
        <f t="shared" si="11"/>
        <v>1983504.1115999999</v>
      </c>
    </row>
    <row r="69" spans="1:11" x14ac:dyDescent="0.25">
      <c r="A69" s="41" t="s">
        <v>58</v>
      </c>
      <c r="B69" s="219">
        <v>16899.259999999998</v>
      </c>
      <c r="C69" s="236">
        <v>7185.6</v>
      </c>
      <c r="D69" s="14">
        <f t="shared" si="5"/>
        <v>0.42520205026728985</v>
      </c>
      <c r="E69" s="13">
        <v>2710.8199999999997</v>
      </c>
      <c r="F69" s="8">
        <f t="shared" si="7"/>
        <v>1152.6462219055745</v>
      </c>
      <c r="G69" s="7">
        <f t="shared" si="8"/>
        <v>70</v>
      </c>
      <c r="H69" s="8">
        <f t="shared" si="9"/>
        <v>1558.1737780944252</v>
      </c>
      <c r="I69" s="7">
        <f t="shared" si="10"/>
        <v>73</v>
      </c>
      <c r="J69" s="8">
        <f t="shared" si="6"/>
        <v>143</v>
      </c>
      <c r="K69" s="12">
        <f t="shared" si="11"/>
        <v>9149712.5147999991</v>
      </c>
    </row>
    <row r="70" spans="1:11" x14ac:dyDescent="0.25">
      <c r="A70" s="41" t="s">
        <v>59</v>
      </c>
      <c r="B70" s="219">
        <v>4230.8599999999997</v>
      </c>
      <c r="C70" s="236">
        <v>3894.1</v>
      </c>
      <c r="D70" s="14">
        <f t="shared" si="5"/>
        <v>0.92040388951655228</v>
      </c>
      <c r="E70" s="13">
        <v>632.52</v>
      </c>
      <c r="F70" s="8">
        <f t="shared" si="7"/>
        <v>582.1738681970096</v>
      </c>
      <c r="G70" s="7">
        <f t="shared" si="8"/>
        <v>36</v>
      </c>
      <c r="H70" s="8">
        <f t="shared" si="9"/>
        <v>50.346131802990385</v>
      </c>
      <c r="I70" s="7">
        <f t="shared" si="10"/>
        <v>3</v>
      </c>
      <c r="J70" s="8">
        <f t="shared" si="6"/>
        <v>39</v>
      </c>
      <c r="K70" s="12">
        <f t="shared" si="11"/>
        <v>2495376.1403999999</v>
      </c>
    </row>
    <row r="71" spans="1:11" x14ac:dyDescent="0.25">
      <c r="A71" s="41" t="s">
        <v>60</v>
      </c>
      <c r="B71" s="219">
        <v>3684.37</v>
      </c>
      <c r="C71" s="236">
        <v>3216.9</v>
      </c>
      <c r="D71" s="14">
        <f t="shared" si="5"/>
        <v>0.87312077777204788</v>
      </c>
      <c r="E71" s="13">
        <v>599.06999999999994</v>
      </c>
      <c r="F71" s="8">
        <f t="shared" si="7"/>
        <v>523.0604643399007</v>
      </c>
      <c r="G71" s="7">
        <f t="shared" si="8"/>
        <v>32</v>
      </c>
      <c r="H71" s="8">
        <f t="shared" si="9"/>
        <v>76.009535660099232</v>
      </c>
      <c r="I71" s="7">
        <f t="shared" si="10"/>
        <v>4</v>
      </c>
      <c r="J71" s="8">
        <f t="shared" si="6"/>
        <v>36</v>
      </c>
      <c r="K71" s="12">
        <f t="shared" si="11"/>
        <v>2303424.1295999996</v>
      </c>
    </row>
    <row r="72" spans="1:11" x14ac:dyDescent="0.25">
      <c r="A72" s="41" t="s">
        <v>61</v>
      </c>
      <c r="B72" s="219">
        <v>665.85</v>
      </c>
      <c r="C72" s="236">
        <v>557.95000000000005</v>
      </c>
      <c r="D72" s="14">
        <f t="shared" si="5"/>
        <v>0.83795149057595564</v>
      </c>
      <c r="E72" s="13">
        <v>103.5</v>
      </c>
      <c r="F72" s="8">
        <f t="shared" si="7"/>
        <v>86.727979274611414</v>
      </c>
      <c r="G72" s="7">
        <f t="shared" si="8"/>
        <v>6</v>
      </c>
      <c r="H72" s="8">
        <f t="shared" si="9"/>
        <v>16.772020725388586</v>
      </c>
      <c r="I72" s="7">
        <f t="shared" si="10"/>
        <v>1</v>
      </c>
      <c r="J72" s="8">
        <f t="shared" si="6"/>
        <v>7</v>
      </c>
      <c r="K72" s="12">
        <f t="shared" si="11"/>
        <v>447888.02519999997</v>
      </c>
    </row>
    <row r="73" spans="1:11" x14ac:dyDescent="0.25">
      <c r="A73" s="41" t="s">
        <v>62</v>
      </c>
      <c r="B73" s="219">
        <v>5751.42</v>
      </c>
      <c r="C73" s="236">
        <v>4084.96</v>
      </c>
      <c r="D73" s="14">
        <f t="shared" si="5"/>
        <v>0.71025242461861593</v>
      </c>
      <c r="E73" s="13">
        <v>896.24</v>
      </c>
      <c r="F73" s="8">
        <f t="shared" si="7"/>
        <v>636.55663304018833</v>
      </c>
      <c r="G73" s="7">
        <f t="shared" si="8"/>
        <v>39</v>
      </c>
      <c r="H73" s="8">
        <f t="shared" si="9"/>
        <v>259.68336695981168</v>
      </c>
      <c r="I73" s="7">
        <f t="shared" si="10"/>
        <v>13</v>
      </c>
      <c r="J73" s="8">
        <f t="shared" si="6"/>
        <v>52</v>
      </c>
      <c r="K73" s="12">
        <f t="shared" si="11"/>
        <v>3327168.1871999996</v>
      </c>
    </row>
    <row r="74" spans="1:11" x14ac:dyDescent="0.25">
      <c r="A74" s="41" t="s">
        <v>63</v>
      </c>
      <c r="B74" s="219">
        <v>10099.5</v>
      </c>
      <c r="C74" s="236">
        <v>6589.44</v>
      </c>
      <c r="D74" s="14">
        <f t="shared" si="5"/>
        <v>0.65245210158918754</v>
      </c>
      <c r="E74" s="13">
        <v>1617.78</v>
      </c>
      <c r="F74" s="8">
        <f t="shared" si="7"/>
        <v>1055.5239609089558</v>
      </c>
      <c r="G74" s="7">
        <f t="shared" si="8"/>
        <v>64</v>
      </c>
      <c r="H74" s="8">
        <f t="shared" si="9"/>
        <v>562.25603909104416</v>
      </c>
      <c r="I74" s="7">
        <f t="shared" si="10"/>
        <v>27</v>
      </c>
      <c r="J74" s="8">
        <f t="shared" si="6"/>
        <v>91</v>
      </c>
      <c r="K74" s="12">
        <f t="shared" si="11"/>
        <v>5822544.3275999995</v>
      </c>
    </row>
    <row r="75" spans="1:11" x14ac:dyDescent="0.25">
      <c r="A75" s="41" t="s">
        <v>64</v>
      </c>
      <c r="B75" s="219">
        <v>2483.25</v>
      </c>
      <c r="C75" s="236">
        <v>2250.21</v>
      </c>
      <c r="D75" s="14">
        <f t="shared" si="5"/>
        <v>0.9061552401087285</v>
      </c>
      <c r="E75" s="13">
        <v>399.24</v>
      </c>
      <c r="F75" s="8">
        <f t="shared" si="7"/>
        <v>361.77341806100878</v>
      </c>
      <c r="G75" s="7">
        <f t="shared" si="8"/>
        <v>22</v>
      </c>
      <c r="H75" s="8">
        <f t="shared" si="9"/>
        <v>37.466581938991226</v>
      </c>
      <c r="I75" s="7">
        <f t="shared" si="10"/>
        <v>2</v>
      </c>
      <c r="J75" s="8">
        <f t="shared" si="6"/>
        <v>24</v>
      </c>
      <c r="K75" s="12">
        <f t="shared" si="11"/>
        <v>1535616.0863999999</v>
      </c>
    </row>
    <row r="76" spans="1:11" x14ac:dyDescent="0.25">
      <c r="A76" s="41" t="s">
        <v>65</v>
      </c>
      <c r="B76" s="219">
        <v>3390.2</v>
      </c>
      <c r="C76" s="236">
        <v>2686.84</v>
      </c>
      <c r="D76" s="14">
        <f t="shared" si="5"/>
        <v>0.7925314140758658</v>
      </c>
      <c r="E76" s="13">
        <v>512.38</v>
      </c>
      <c r="F76" s="8">
        <f t="shared" si="7"/>
        <v>406.0772459441921</v>
      </c>
      <c r="G76" s="7">
        <f t="shared" si="8"/>
        <v>25</v>
      </c>
      <c r="H76" s="8">
        <f t="shared" si="9"/>
        <v>106.3027540558079</v>
      </c>
      <c r="I76" s="7">
        <f t="shared" si="10"/>
        <v>5</v>
      </c>
      <c r="J76" s="8">
        <f t="shared" si="6"/>
        <v>30</v>
      </c>
      <c r="K76" s="12">
        <f t="shared" si="11"/>
        <v>1919520.108</v>
      </c>
    </row>
    <row r="77" spans="1:11" x14ac:dyDescent="0.25">
      <c r="A77" s="41" t="s">
        <v>66</v>
      </c>
      <c r="B77" s="219">
        <v>6118.74</v>
      </c>
      <c r="C77" s="236">
        <v>5379.45</v>
      </c>
      <c r="D77" s="14">
        <f t="shared" si="5"/>
        <v>0.87917610488433895</v>
      </c>
      <c r="E77" s="13">
        <v>920.79</v>
      </c>
      <c r="F77" s="8">
        <f t="shared" si="7"/>
        <v>809.53656561645039</v>
      </c>
      <c r="G77" s="7">
        <f t="shared" si="8"/>
        <v>50</v>
      </c>
      <c r="H77" s="8">
        <f t="shared" si="9"/>
        <v>111.25343438354957</v>
      </c>
      <c r="I77" s="7">
        <f t="shared" si="10"/>
        <v>6</v>
      </c>
      <c r="J77" s="8">
        <f t="shared" si="6"/>
        <v>56</v>
      </c>
      <c r="K77" s="12">
        <f t="shared" si="11"/>
        <v>3583104.2015999998</v>
      </c>
    </row>
    <row r="78" spans="1:11" x14ac:dyDescent="0.25">
      <c r="A78" s="41" t="s">
        <v>67</v>
      </c>
      <c r="B78" s="219">
        <v>15618.17</v>
      </c>
      <c r="C78" s="236">
        <v>9318.2800000000007</v>
      </c>
      <c r="D78" s="14">
        <f t="shared" si="5"/>
        <v>0.59663071921998545</v>
      </c>
      <c r="E78" s="13">
        <v>2492.4899999999998</v>
      </c>
      <c r="F78" s="8">
        <f t="shared" si="7"/>
        <v>1487.0961013486215</v>
      </c>
      <c r="G78" s="7">
        <f t="shared" si="8"/>
        <v>91</v>
      </c>
      <c r="H78" s="8">
        <f t="shared" si="9"/>
        <v>1005.3938986513783</v>
      </c>
      <c r="I78" s="7">
        <f t="shared" si="10"/>
        <v>47</v>
      </c>
      <c r="J78" s="8">
        <f t="shared" si="6"/>
        <v>138</v>
      </c>
      <c r="K78" s="12">
        <f t="shared" si="11"/>
        <v>8829792.4967999998</v>
      </c>
    </row>
    <row r="79" spans="1:11" x14ac:dyDescent="0.25">
      <c r="A79" s="41" t="s">
        <v>68</v>
      </c>
      <c r="B79" s="219">
        <v>22502.1</v>
      </c>
      <c r="C79" s="236">
        <v>17146.64</v>
      </c>
      <c r="D79" s="14">
        <f t="shared" si="5"/>
        <v>0.76200176872380798</v>
      </c>
      <c r="E79" s="13">
        <v>3457.48</v>
      </c>
      <c r="F79" s="8">
        <f t="shared" ref="F79:F95" si="12">E79*D79</f>
        <v>2634.6058753271918</v>
      </c>
      <c r="G79" s="7">
        <f t="shared" ref="G79:G95" si="13">ROUNDUP((F79/$F$4),0)</f>
        <v>160</v>
      </c>
      <c r="H79" s="8">
        <f t="shared" ref="H79:H95" si="14">E79-F79</f>
        <v>822.87412467280819</v>
      </c>
      <c r="I79" s="7">
        <f t="shared" ref="I79:I95" si="15">ROUNDUP((H79/$F$5),0)</f>
        <v>39</v>
      </c>
      <c r="J79" s="8">
        <f t="shared" si="6"/>
        <v>199</v>
      </c>
      <c r="K79" s="12">
        <f t="shared" ref="K79:K95" si="16">J79*$B$7</f>
        <v>12732816.716399999</v>
      </c>
    </row>
    <row r="80" spans="1:11" x14ac:dyDescent="0.25">
      <c r="A80" s="41" t="s">
        <v>69</v>
      </c>
      <c r="B80" s="219">
        <v>27586.57</v>
      </c>
      <c r="C80" s="236">
        <v>15039.74</v>
      </c>
      <c r="D80" s="14">
        <f t="shared" ref="D80:D95" si="17">C80/B80</f>
        <v>0.54518339902351032</v>
      </c>
      <c r="E80" s="13">
        <v>4454.41</v>
      </c>
      <c r="F80" s="8">
        <f t="shared" si="12"/>
        <v>2428.4703844443147</v>
      </c>
      <c r="G80" s="7">
        <f t="shared" si="13"/>
        <v>148</v>
      </c>
      <c r="H80" s="8">
        <f t="shared" si="14"/>
        <v>2025.9396155556851</v>
      </c>
      <c r="I80" s="7">
        <f t="shared" si="15"/>
        <v>95</v>
      </c>
      <c r="J80" s="8">
        <f t="shared" ref="J80:J95" si="18">G80+I80</f>
        <v>243</v>
      </c>
      <c r="K80" s="12">
        <f t="shared" si="16"/>
        <v>15548112.874799998</v>
      </c>
    </row>
    <row r="81" spans="1:12" x14ac:dyDescent="0.25">
      <c r="A81" s="41" t="s">
        <v>70</v>
      </c>
      <c r="B81" s="219">
        <v>2197.3200000000002</v>
      </c>
      <c r="C81" s="236">
        <v>1682.59</v>
      </c>
      <c r="D81" s="14">
        <f t="shared" si="17"/>
        <v>0.76574645477217695</v>
      </c>
      <c r="E81" s="13">
        <v>318.27999999999997</v>
      </c>
      <c r="F81" s="8">
        <f t="shared" si="12"/>
        <v>243.72178162488845</v>
      </c>
      <c r="G81" s="7">
        <f t="shared" si="13"/>
        <v>15</v>
      </c>
      <c r="H81" s="8">
        <f t="shared" si="14"/>
        <v>74.558218375111522</v>
      </c>
      <c r="I81" s="7">
        <f t="shared" si="15"/>
        <v>4</v>
      </c>
      <c r="J81" s="8">
        <f t="shared" si="18"/>
        <v>19</v>
      </c>
      <c r="K81" s="12">
        <f t="shared" si="16"/>
        <v>1215696.0684</v>
      </c>
    </row>
    <row r="82" spans="1:12" x14ac:dyDescent="0.25">
      <c r="A82" s="41" t="s">
        <v>71</v>
      </c>
      <c r="B82" s="219">
        <v>4904.8</v>
      </c>
      <c r="C82" s="236">
        <v>2789.85</v>
      </c>
      <c r="D82" s="14">
        <f t="shared" si="17"/>
        <v>0.56879995106834114</v>
      </c>
      <c r="E82" s="13">
        <v>805.56999999999994</v>
      </c>
      <c r="F82" s="8">
        <f t="shared" si="12"/>
        <v>458.20817658212354</v>
      </c>
      <c r="G82" s="7">
        <f t="shared" si="13"/>
        <v>28</v>
      </c>
      <c r="H82" s="8">
        <f t="shared" si="14"/>
        <v>347.36182341787639</v>
      </c>
      <c r="I82" s="7">
        <f t="shared" si="15"/>
        <v>17</v>
      </c>
      <c r="J82" s="8">
        <f t="shared" si="18"/>
        <v>45</v>
      </c>
      <c r="K82" s="12">
        <f t="shared" si="16"/>
        <v>2879280.162</v>
      </c>
    </row>
    <row r="83" spans="1:12" x14ac:dyDescent="0.25">
      <c r="A83" s="41" t="s">
        <v>72</v>
      </c>
      <c r="B83" s="219">
        <v>9921.15</v>
      </c>
      <c r="C83" s="236">
        <v>5800.34</v>
      </c>
      <c r="D83" s="14">
        <f t="shared" si="17"/>
        <v>0.58464391728781451</v>
      </c>
      <c r="E83" s="13">
        <v>1588.8400000000001</v>
      </c>
      <c r="F83" s="8">
        <f t="shared" si="12"/>
        <v>928.90564154357128</v>
      </c>
      <c r="G83" s="7">
        <f t="shared" si="13"/>
        <v>57</v>
      </c>
      <c r="H83" s="8">
        <f t="shared" si="14"/>
        <v>659.93435845642887</v>
      </c>
      <c r="I83" s="7">
        <f t="shared" si="15"/>
        <v>31</v>
      </c>
      <c r="J83" s="8">
        <f t="shared" si="18"/>
        <v>88</v>
      </c>
      <c r="K83" s="12">
        <f t="shared" si="16"/>
        <v>5630592.3168000001</v>
      </c>
    </row>
    <row r="84" spans="1:12" x14ac:dyDescent="0.25">
      <c r="A84" s="41" t="s">
        <v>73</v>
      </c>
      <c r="B84" s="219">
        <v>2737.16</v>
      </c>
      <c r="C84" s="236">
        <v>1943.24</v>
      </c>
      <c r="D84" s="14">
        <f t="shared" si="17"/>
        <v>0.70994753686302592</v>
      </c>
      <c r="E84" s="13">
        <v>428.46000000000004</v>
      </c>
      <c r="F84" s="8">
        <f t="shared" si="12"/>
        <v>304.18412164433209</v>
      </c>
      <c r="G84" s="7">
        <f t="shared" si="13"/>
        <v>19</v>
      </c>
      <c r="H84" s="8">
        <f t="shared" si="14"/>
        <v>124.27587835566794</v>
      </c>
      <c r="I84" s="7">
        <f t="shared" si="15"/>
        <v>6</v>
      </c>
      <c r="J84" s="8">
        <f t="shared" si="18"/>
        <v>25</v>
      </c>
      <c r="K84" s="12">
        <f t="shared" si="16"/>
        <v>1599600.0899999999</v>
      </c>
    </row>
    <row r="85" spans="1:12" x14ac:dyDescent="0.25">
      <c r="A85" s="41" t="s">
        <v>74</v>
      </c>
      <c r="B85" s="219">
        <v>2669.43</v>
      </c>
      <c r="C85" s="236">
        <v>1792.49</v>
      </c>
      <c r="D85" s="14">
        <f t="shared" si="17"/>
        <v>0.6714879206422345</v>
      </c>
      <c r="E85" s="13">
        <v>405.71000000000004</v>
      </c>
      <c r="F85" s="8">
        <f t="shared" si="12"/>
        <v>272.429364283761</v>
      </c>
      <c r="G85" s="7">
        <f t="shared" si="13"/>
        <v>17</v>
      </c>
      <c r="H85" s="8">
        <f t="shared" si="14"/>
        <v>133.28063571623903</v>
      </c>
      <c r="I85" s="7">
        <f t="shared" si="15"/>
        <v>7</v>
      </c>
      <c r="J85" s="8">
        <f t="shared" si="18"/>
        <v>24</v>
      </c>
      <c r="K85" s="12">
        <f t="shared" si="16"/>
        <v>1535616.0863999999</v>
      </c>
    </row>
    <row r="86" spans="1:12" x14ac:dyDescent="0.25">
      <c r="A86" s="41" t="s">
        <v>75</v>
      </c>
      <c r="B86" s="219">
        <v>8533.4500000000007</v>
      </c>
      <c r="C86" s="236">
        <v>4605.55</v>
      </c>
      <c r="D86" s="14">
        <f t="shared" si="17"/>
        <v>0.5397055118387053</v>
      </c>
      <c r="E86" s="13">
        <v>1348.65</v>
      </c>
      <c r="F86" s="8">
        <f t="shared" si="12"/>
        <v>727.87383854126995</v>
      </c>
      <c r="G86" s="7">
        <f t="shared" si="13"/>
        <v>45</v>
      </c>
      <c r="H86" s="8">
        <f t="shared" si="14"/>
        <v>620.77616145873014</v>
      </c>
      <c r="I86" s="7">
        <f t="shared" si="15"/>
        <v>29</v>
      </c>
      <c r="J86" s="8">
        <f t="shared" si="18"/>
        <v>74</v>
      </c>
      <c r="K86" s="12">
        <f t="shared" si="16"/>
        <v>4734816.2664000001</v>
      </c>
    </row>
    <row r="87" spans="1:12" x14ac:dyDescent="0.25">
      <c r="A87" s="41" t="s">
        <v>76</v>
      </c>
      <c r="B87" s="219">
        <v>10966.62</v>
      </c>
      <c r="C87" s="236">
        <v>7289.33</v>
      </c>
      <c r="D87" s="14">
        <f t="shared" si="17"/>
        <v>0.6646833755523579</v>
      </c>
      <c r="E87" s="13">
        <v>1770.58</v>
      </c>
      <c r="F87" s="8">
        <f t="shared" si="12"/>
        <v>1176.8750910854938</v>
      </c>
      <c r="G87" s="7">
        <f t="shared" si="13"/>
        <v>72</v>
      </c>
      <c r="H87" s="8">
        <f t="shared" si="14"/>
        <v>593.70490891450618</v>
      </c>
      <c r="I87" s="7">
        <f t="shared" si="15"/>
        <v>28</v>
      </c>
      <c r="J87" s="8">
        <f t="shared" si="18"/>
        <v>100</v>
      </c>
      <c r="K87" s="12">
        <f t="shared" si="16"/>
        <v>6398400.3599999994</v>
      </c>
    </row>
    <row r="88" spans="1:12" x14ac:dyDescent="0.25">
      <c r="A88" s="41" t="s">
        <v>77</v>
      </c>
      <c r="B88" s="219">
        <v>7107.44</v>
      </c>
      <c r="C88" s="236">
        <v>5120.8100000000004</v>
      </c>
      <c r="D88" s="14">
        <f t="shared" si="17"/>
        <v>0.72048585707371438</v>
      </c>
      <c r="E88" s="13">
        <v>1032</v>
      </c>
      <c r="F88" s="8">
        <f t="shared" si="12"/>
        <v>743.54140450007321</v>
      </c>
      <c r="G88" s="7">
        <f t="shared" si="13"/>
        <v>46</v>
      </c>
      <c r="H88" s="8">
        <f t="shared" si="14"/>
        <v>288.45859549992679</v>
      </c>
      <c r="I88" s="7">
        <f t="shared" si="15"/>
        <v>14</v>
      </c>
      <c r="J88" s="8">
        <f t="shared" si="18"/>
        <v>60</v>
      </c>
      <c r="K88" s="12">
        <f t="shared" si="16"/>
        <v>3839040.216</v>
      </c>
    </row>
    <row r="89" spans="1:12" x14ac:dyDescent="0.25">
      <c r="A89" s="41" t="s">
        <v>78</v>
      </c>
      <c r="B89" s="219">
        <v>15888.61</v>
      </c>
      <c r="C89" s="236">
        <v>11802.21</v>
      </c>
      <c r="D89" s="14">
        <f t="shared" si="17"/>
        <v>0.74280947169072675</v>
      </c>
      <c r="E89" s="13">
        <v>2480.0100000000002</v>
      </c>
      <c r="F89" s="8">
        <f t="shared" si="12"/>
        <v>1842.1749178877194</v>
      </c>
      <c r="G89" s="7">
        <f t="shared" si="13"/>
        <v>112</v>
      </c>
      <c r="H89" s="8">
        <f t="shared" si="14"/>
        <v>637.83508211228082</v>
      </c>
      <c r="I89" s="7">
        <f t="shared" si="15"/>
        <v>30</v>
      </c>
      <c r="J89" s="8">
        <f t="shared" si="18"/>
        <v>142</v>
      </c>
      <c r="K89" s="12">
        <f t="shared" si="16"/>
        <v>9085728.5111999996</v>
      </c>
    </row>
    <row r="90" spans="1:12" x14ac:dyDescent="0.25">
      <c r="A90" s="41" t="s">
        <v>79</v>
      </c>
      <c r="B90" s="219">
        <v>3787.02</v>
      </c>
      <c r="C90" s="236">
        <v>2926.7</v>
      </c>
      <c r="D90" s="14">
        <f t="shared" si="17"/>
        <v>0.7728240146606038</v>
      </c>
      <c r="E90" s="13">
        <v>587.9</v>
      </c>
      <c r="F90" s="8">
        <f t="shared" si="12"/>
        <v>454.34323821896896</v>
      </c>
      <c r="G90" s="7">
        <f t="shared" si="13"/>
        <v>28</v>
      </c>
      <c r="H90" s="8">
        <f t="shared" si="14"/>
        <v>133.55676178103101</v>
      </c>
      <c r="I90" s="7">
        <f t="shared" si="15"/>
        <v>7</v>
      </c>
      <c r="J90" s="8">
        <f t="shared" si="18"/>
        <v>35</v>
      </c>
      <c r="K90" s="12">
        <f t="shared" si="16"/>
        <v>2239440.1259999997</v>
      </c>
    </row>
    <row r="91" spans="1:12" x14ac:dyDescent="0.25">
      <c r="A91" s="41" t="s">
        <v>80</v>
      </c>
      <c r="B91" s="219">
        <v>3426.1</v>
      </c>
      <c r="C91" s="236">
        <v>3131.81</v>
      </c>
      <c r="D91" s="14">
        <f t="shared" si="17"/>
        <v>0.91410349960596593</v>
      </c>
      <c r="E91" s="13">
        <v>510.63</v>
      </c>
      <c r="F91" s="8">
        <f t="shared" si="12"/>
        <v>466.7686700037944</v>
      </c>
      <c r="G91" s="7">
        <f t="shared" si="13"/>
        <v>29</v>
      </c>
      <c r="H91" s="8">
        <f t="shared" si="14"/>
        <v>43.861329996205598</v>
      </c>
      <c r="I91" s="7">
        <f t="shared" si="15"/>
        <v>3</v>
      </c>
      <c r="J91" s="8">
        <f t="shared" si="18"/>
        <v>32</v>
      </c>
      <c r="K91" s="12">
        <f t="shared" si="16"/>
        <v>2047488.1151999999</v>
      </c>
    </row>
    <row r="92" spans="1:12" x14ac:dyDescent="0.25">
      <c r="A92" s="41" t="s">
        <v>81</v>
      </c>
      <c r="B92" s="219">
        <v>4956.4399999999996</v>
      </c>
      <c r="C92" s="236">
        <v>3366.99</v>
      </c>
      <c r="D92" s="14">
        <f t="shared" si="17"/>
        <v>0.67931620275843152</v>
      </c>
      <c r="E92" s="13">
        <v>793.45</v>
      </c>
      <c r="F92" s="8">
        <f t="shared" si="12"/>
        <v>539.0034410786775</v>
      </c>
      <c r="G92" s="7">
        <f t="shared" si="13"/>
        <v>33</v>
      </c>
      <c r="H92" s="8">
        <f t="shared" si="14"/>
        <v>254.44655892132255</v>
      </c>
      <c r="I92" s="7">
        <f t="shared" si="15"/>
        <v>12</v>
      </c>
      <c r="J92" s="8">
        <f t="shared" si="18"/>
        <v>45</v>
      </c>
      <c r="K92" s="12">
        <f t="shared" si="16"/>
        <v>2879280.162</v>
      </c>
    </row>
    <row r="93" spans="1:12" x14ac:dyDescent="0.25">
      <c r="A93" s="41" t="s">
        <v>82</v>
      </c>
      <c r="B93" s="219">
        <v>7694.47</v>
      </c>
      <c r="C93" s="236">
        <v>2768.93</v>
      </c>
      <c r="D93" s="14">
        <f t="shared" si="17"/>
        <v>0.35985974342612287</v>
      </c>
      <c r="E93" s="13">
        <v>1238.1600000000001</v>
      </c>
      <c r="F93" s="8">
        <f t="shared" si="12"/>
        <v>445.56393992048834</v>
      </c>
      <c r="G93" s="7">
        <f t="shared" si="13"/>
        <v>28</v>
      </c>
      <c r="H93" s="8">
        <f t="shared" si="14"/>
        <v>792.59606007951174</v>
      </c>
      <c r="I93" s="7">
        <f t="shared" si="15"/>
        <v>37</v>
      </c>
      <c r="J93" s="8">
        <f t="shared" si="18"/>
        <v>65</v>
      </c>
      <c r="K93" s="12">
        <f t="shared" si="16"/>
        <v>4158960.2339999997</v>
      </c>
    </row>
    <row r="94" spans="1:12" x14ac:dyDescent="0.25">
      <c r="A94" s="41" t="s">
        <v>83</v>
      </c>
      <c r="B94" s="219">
        <v>17132.009999999998</v>
      </c>
      <c r="C94" s="236">
        <v>10493.05</v>
      </c>
      <c r="D94" s="14">
        <f t="shared" si="17"/>
        <v>0.61248213140197794</v>
      </c>
      <c r="E94" s="13">
        <v>2637.09</v>
      </c>
      <c r="F94" s="8">
        <f t="shared" si="12"/>
        <v>1615.1705038988421</v>
      </c>
      <c r="G94" s="7">
        <f t="shared" si="13"/>
        <v>98</v>
      </c>
      <c r="H94" s="8">
        <f t="shared" si="14"/>
        <v>1021.9194961011581</v>
      </c>
      <c r="I94" s="7">
        <f t="shared" si="15"/>
        <v>48</v>
      </c>
      <c r="J94" s="8">
        <f t="shared" si="18"/>
        <v>146</v>
      </c>
      <c r="K94" s="12">
        <f t="shared" si="16"/>
        <v>9341664.5255999994</v>
      </c>
    </row>
    <row r="95" spans="1:12" x14ac:dyDescent="0.25">
      <c r="A95" s="41" t="s">
        <v>84</v>
      </c>
      <c r="B95" s="219">
        <v>15937.31</v>
      </c>
      <c r="C95" s="236">
        <v>3335.44</v>
      </c>
      <c r="D95" s="14">
        <f t="shared" si="17"/>
        <v>0.2092850048094691</v>
      </c>
      <c r="E95" s="13">
        <v>2498.06</v>
      </c>
      <c r="F95" s="8">
        <f t="shared" si="12"/>
        <v>522.80649911434239</v>
      </c>
      <c r="G95" s="7">
        <f t="shared" si="13"/>
        <v>32</v>
      </c>
      <c r="H95" s="8">
        <f t="shared" si="14"/>
        <v>1975.2535008856576</v>
      </c>
      <c r="I95" s="7">
        <f t="shared" si="15"/>
        <v>92</v>
      </c>
      <c r="J95" s="8">
        <f t="shared" si="18"/>
        <v>124</v>
      </c>
      <c r="K95" s="12">
        <f t="shared" si="16"/>
        <v>7934016.4463999998</v>
      </c>
    </row>
    <row r="96" spans="1:12" s="241" customFormat="1" ht="15.75" thickBot="1" x14ac:dyDescent="0.3">
      <c r="A96" s="687" t="s">
        <v>312</v>
      </c>
      <c r="B96" s="223">
        <v>721122.25</v>
      </c>
      <c r="C96" s="238">
        <v>446194.4</v>
      </c>
      <c r="D96" s="17">
        <f>C96/B96</f>
        <v>0.61875001083380798</v>
      </c>
      <c r="E96" s="16">
        <f>SUM(E15:E95)</f>
        <v>113081.11000000003</v>
      </c>
      <c r="F96" s="18">
        <f t="shared" ref="F96:K96" si="19">SUM(F15:F95)</f>
        <v>69884.292669122602</v>
      </c>
      <c r="G96" s="19">
        <f t="shared" si="19"/>
        <v>4284</v>
      </c>
      <c r="H96" s="18">
        <f t="shared" si="19"/>
        <v>43196.817330877384</v>
      </c>
      <c r="I96" s="20">
        <f t="shared" si="19"/>
        <v>2050</v>
      </c>
      <c r="J96" s="18">
        <f t="shared" si="19"/>
        <v>6334</v>
      </c>
      <c r="K96" s="21">
        <f t="shared" si="19"/>
        <v>405274678.80240011</v>
      </c>
      <c r="L96" s="1"/>
    </row>
  </sheetData>
  <mergeCells count="17">
    <mergeCell ref="D3:F3"/>
    <mergeCell ref="K12:K13"/>
    <mergeCell ref="F12:F13"/>
    <mergeCell ref="G12:G13"/>
    <mergeCell ref="H12:H13"/>
    <mergeCell ref="B11:E11"/>
    <mergeCell ref="F11:G11"/>
    <mergeCell ref="H11:I11"/>
    <mergeCell ref="I12:I13"/>
    <mergeCell ref="J12:J13"/>
    <mergeCell ref="J11:K11"/>
    <mergeCell ref="B10:K10"/>
    <mergeCell ref="A12:A13"/>
    <mergeCell ref="B12:B13"/>
    <mergeCell ref="C12:C13"/>
    <mergeCell ref="D12:D13"/>
    <mergeCell ref="E12:E13"/>
  </mergeCells>
  <conditionalFormatting sqref="O97:O1048576">
    <cfRule type="cellIs" dxfId="8" priority="3" operator="lessThan">
      <formula>0</formula>
    </cfRule>
  </conditionalFormatting>
  <conditionalFormatting sqref="K12">
    <cfRule type="cellIs" dxfId="7" priority="2" operator="lessThan">
      <formula>0</formula>
    </cfRule>
  </conditionalFormatting>
  <printOptions horizontalCentered="1"/>
  <pageMargins left="0.5" right="0.5" top="0.5" bottom="0.5" header="0.3" footer="0.3"/>
  <pageSetup scale="68" fitToHeight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L96"/>
  <sheetViews>
    <sheetView workbookViewId="0">
      <selection activeCell="I4" sqref="I4"/>
    </sheetView>
  </sheetViews>
  <sheetFormatPr defaultRowHeight="15" x14ac:dyDescent="0.25"/>
  <cols>
    <col min="1" max="1" width="20.42578125" style="1" customWidth="1"/>
    <col min="2" max="2" width="12.42578125" style="1" customWidth="1"/>
    <col min="3" max="3" width="10.42578125" style="230" customWidth="1"/>
    <col min="4" max="4" width="9.85546875" style="209" bestFit="1" customWidth="1"/>
    <col min="5" max="5" width="11.42578125" style="230" customWidth="1"/>
    <col min="6" max="6" width="13" style="1" customWidth="1"/>
    <col min="7" max="7" width="17.28515625" style="1" customWidth="1"/>
    <col min="8" max="8" width="13.28515625" style="1" customWidth="1"/>
    <col min="9" max="9" width="13.7109375" style="1" customWidth="1"/>
    <col min="10" max="10" width="15.28515625" style="1" customWidth="1"/>
    <col min="11" max="11" width="13.85546875" style="1" customWidth="1"/>
    <col min="12" max="12" width="12.28515625" style="1" customWidth="1"/>
    <col min="13" max="13" width="12.7109375" style="1" bestFit="1" customWidth="1"/>
    <col min="14" max="14" width="13.85546875" style="1" bestFit="1" customWidth="1"/>
    <col min="15" max="15" width="12.7109375" style="1" bestFit="1" customWidth="1"/>
    <col min="16" max="16" width="9.7109375" style="1" bestFit="1" customWidth="1"/>
    <col min="17" max="17" width="7" style="1" bestFit="1" customWidth="1"/>
    <col min="18" max="16384" width="9.140625" style="1"/>
  </cols>
  <sheetData>
    <row r="1" spans="1:11" ht="23.25" x14ac:dyDescent="0.35">
      <c r="A1" s="229" t="s">
        <v>667</v>
      </c>
    </row>
    <row r="2" spans="1:11" ht="15.75" customHeight="1" thickBot="1" x14ac:dyDescent="0.4">
      <c r="A2" s="229"/>
    </row>
    <row r="3" spans="1:11" s="353" customFormat="1" ht="13.5" thickBot="1" x14ac:dyDescent="0.25">
      <c r="A3" s="640" t="s">
        <v>94</v>
      </c>
      <c r="B3" s="352"/>
      <c r="D3" s="855" t="s">
        <v>711</v>
      </c>
      <c r="E3" s="856"/>
      <c r="F3" s="857"/>
    </row>
    <row r="4" spans="1:11" s="353" customFormat="1" ht="25.5" x14ac:dyDescent="0.2">
      <c r="A4" s="354" t="s">
        <v>163</v>
      </c>
      <c r="B4" s="37">
        <f>Amounts!B4</f>
        <v>44586</v>
      </c>
      <c r="D4" s="858" t="s">
        <v>101</v>
      </c>
      <c r="E4" s="859"/>
      <c r="F4" s="654">
        <f>Amounts!B20</f>
        <v>16.5</v>
      </c>
    </row>
    <row r="5" spans="1:11" s="353" customFormat="1" ht="13.5" thickBot="1" x14ac:dyDescent="0.25">
      <c r="A5" s="354" t="s">
        <v>138</v>
      </c>
      <c r="B5" s="37">
        <f>B4*C9</f>
        <v>12600.0036</v>
      </c>
      <c r="D5" s="860" t="s">
        <v>107</v>
      </c>
      <c r="E5" s="861"/>
      <c r="F5" s="11">
        <f>Amounts!C20</f>
        <v>21.5</v>
      </c>
    </row>
    <row r="6" spans="1:11" s="353" customFormat="1" ht="12.75" x14ac:dyDescent="0.2">
      <c r="A6" s="355" t="s">
        <v>98</v>
      </c>
      <c r="B6" s="37">
        <f>Amounts!B6</f>
        <v>6798</v>
      </c>
      <c r="D6" s="655"/>
    </row>
    <row r="7" spans="1:11" s="353" customFormat="1" ht="13.5" thickBot="1" x14ac:dyDescent="0.25">
      <c r="A7" s="644" t="s">
        <v>96</v>
      </c>
      <c r="B7" s="645">
        <f>SUM(B4:B6)</f>
        <v>63984.003599999996</v>
      </c>
      <c r="D7" s="655"/>
    </row>
    <row r="8" spans="1:11" s="353" customFormat="1" ht="15.75" customHeight="1" x14ac:dyDescent="0.2">
      <c r="D8" s="655"/>
    </row>
    <row r="9" spans="1:11" s="353" customFormat="1" ht="15.75" customHeight="1" thickBot="1" x14ac:dyDescent="0.25">
      <c r="A9" s="648" t="s">
        <v>137</v>
      </c>
      <c r="B9" s="34"/>
      <c r="C9" s="231">
        <f>Amounts!B9</f>
        <v>0.28260000000000002</v>
      </c>
      <c r="D9" s="655"/>
      <c r="E9" s="653"/>
    </row>
    <row r="10" spans="1:11" ht="15.75" thickBot="1" x14ac:dyDescent="0.3">
      <c r="B10" s="839" t="s">
        <v>124</v>
      </c>
      <c r="C10" s="840"/>
      <c r="D10" s="840"/>
      <c r="E10" s="840"/>
      <c r="F10" s="840"/>
      <c r="G10" s="840"/>
      <c r="H10" s="840"/>
      <c r="I10" s="840"/>
      <c r="J10" s="840"/>
      <c r="K10" s="841"/>
    </row>
    <row r="11" spans="1:11" ht="15.75" thickBot="1" x14ac:dyDescent="0.3">
      <c r="B11" s="833" t="s">
        <v>93</v>
      </c>
      <c r="C11" s="834"/>
      <c r="D11" s="834"/>
      <c r="E11" s="834"/>
      <c r="F11" s="833" t="s">
        <v>2</v>
      </c>
      <c r="G11" s="835"/>
      <c r="H11" s="833" t="s">
        <v>120</v>
      </c>
      <c r="I11" s="835"/>
      <c r="J11" s="833" t="s">
        <v>89</v>
      </c>
      <c r="K11" s="835"/>
    </row>
    <row r="12" spans="1:11" ht="15" customHeight="1" x14ac:dyDescent="0.25">
      <c r="A12" s="848" t="s">
        <v>0</v>
      </c>
      <c r="B12" s="844" t="s">
        <v>86</v>
      </c>
      <c r="C12" s="846" t="s">
        <v>85</v>
      </c>
      <c r="D12" s="853" t="s">
        <v>92</v>
      </c>
      <c r="E12" s="846" t="s">
        <v>90</v>
      </c>
      <c r="F12" s="844" t="s">
        <v>88</v>
      </c>
      <c r="G12" s="827" t="s">
        <v>3</v>
      </c>
      <c r="H12" s="844" t="s">
        <v>88</v>
      </c>
      <c r="I12" s="827" t="s">
        <v>3</v>
      </c>
      <c r="J12" s="844" t="s">
        <v>87</v>
      </c>
      <c r="K12" s="842" t="s">
        <v>105</v>
      </c>
    </row>
    <row r="13" spans="1:11" x14ac:dyDescent="0.25">
      <c r="A13" s="849"/>
      <c r="B13" s="845"/>
      <c r="C13" s="847"/>
      <c r="D13" s="854"/>
      <c r="E13" s="847"/>
      <c r="F13" s="845"/>
      <c r="G13" s="828"/>
      <c r="H13" s="845"/>
      <c r="I13" s="828"/>
      <c r="J13" s="845"/>
      <c r="K13" s="843"/>
    </row>
    <row r="14" spans="1:11" s="241" customFormat="1" x14ac:dyDescent="0.25">
      <c r="A14" s="698" t="s">
        <v>715</v>
      </c>
      <c r="B14" s="690" t="s">
        <v>716</v>
      </c>
      <c r="C14" s="689" t="s">
        <v>717</v>
      </c>
      <c r="D14" s="697" t="s">
        <v>718</v>
      </c>
      <c r="E14" s="689" t="s">
        <v>719</v>
      </c>
      <c r="F14" s="690" t="s">
        <v>720</v>
      </c>
      <c r="G14" s="696" t="s">
        <v>721</v>
      </c>
      <c r="H14" s="690" t="s">
        <v>722</v>
      </c>
      <c r="I14" s="696" t="s">
        <v>723</v>
      </c>
      <c r="J14" s="690" t="s">
        <v>724</v>
      </c>
      <c r="K14" s="695" t="s">
        <v>725</v>
      </c>
    </row>
    <row r="15" spans="1:11" x14ac:dyDescent="0.25">
      <c r="A15" s="41" t="s">
        <v>4</v>
      </c>
      <c r="B15" s="219">
        <v>2915.96</v>
      </c>
      <c r="C15" s="236">
        <v>2006.13</v>
      </c>
      <c r="D15" s="369">
        <f>C15/B15</f>
        <v>0.68798268837706966</v>
      </c>
      <c r="E15" s="13">
        <v>819.81999999999994</v>
      </c>
      <c r="F15" s="8">
        <f>E15*D15</f>
        <v>564.02196758528919</v>
      </c>
      <c r="G15" s="7">
        <f t="shared" ref="G15:G46" si="0">(F15/$F$4)</f>
        <v>34.18314955062359</v>
      </c>
      <c r="H15" s="8">
        <f t="shared" ref="H15:H46" si="1">E15-F15</f>
        <v>255.79803241471075</v>
      </c>
      <c r="I15" s="7">
        <f t="shared" ref="I15:I46" si="2">(H15/$F$5)</f>
        <v>11.897582903009802</v>
      </c>
      <c r="J15" s="8">
        <f>G15+I15</f>
        <v>46.080732453633388</v>
      </c>
      <c r="K15" s="12">
        <f t="shared" ref="K15:K46" si="3">J15*$B$7</f>
        <v>2948429.7512039156</v>
      </c>
    </row>
    <row r="16" spans="1:11" x14ac:dyDescent="0.25">
      <c r="A16" s="41" t="s">
        <v>5</v>
      </c>
      <c r="B16" s="219">
        <v>23246.81</v>
      </c>
      <c r="C16" s="236">
        <v>15253.01</v>
      </c>
      <c r="D16" s="369">
        <f t="shared" ref="D16:D79" si="4">C16/B16</f>
        <v>0.65613346519371907</v>
      </c>
      <c r="E16" s="13">
        <v>6759.03</v>
      </c>
      <c r="F16" s="8">
        <f t="shared" ref="F16:F46" si="5">E16*D16</f>
        <v>4434.8257752483032</v>
      </c>
      <c r="G16" s="7">
        <f t="shared" si="0"/>
        <v>268.77731971201837</v>
      </c>
      <c r="H16" s="8">
        <f t="shared" si="1"/>
        <v>2324.2042247516965</v>
      </c>
      <c r="I16" s="7">
        <f t="shared" si="2"/>
        <v>108.10252208147426</v>
      </c>
      <c r="J16" s="8">
        <f t="shared" ref="J16:J79" si="6">G16+I16</f>
        <v>376.87984179349263</v>
      </c>
      <c r="K16" s="12">
        <f t="shared" si="3"/>
        <v>24114281.154082261</v>
      </c>
    </row>
    <row r="17" spans="1:11" x14ac:dyDescent="0.25">
      <c r="A17" s="41" t="s">
        <v>6</v>
      </c>
      <c r="B17" s="219">
        <v>1028.55</v>
      </c>
      <c r="C17" s="236">
        <v>973.11</v>
      </c>
      <c r="D17" s="369">
        <f t="shared" si="4"/>
        <v>0.94609887705993878</v>
      </c>
      <c r="E17" s="13">
        <v>294.55</v>
      </c>
      <c r="F17" s="8">
        <f t="shared" si="5"/>
        <v>278.673424238005</v>
      </c>
      <c r="G17" s="7">
        <f t="shared" si="0"/>
        <v>16.88929843866697</v>
      </c>
      <c r="H17" s="8">
        <f t="shared" si="1"/>
        <v>15.876575761995014</v>
      </c>
      <c r="I17" s="7">
        <f t="shared" si="2"/>
        <v>0.73844538427883788</v>
      </c>
      <c r="J17" s="8">
        <f t="shared" si="6"/>
        <v>17.627743822945806</v>
      </c>
      <c r="K17" s="12">
        <f t="shared" si="3"/>
        <v>1127893.6242272421</v>
      </c>
    </row>
    <row r="18" spans="1:11" x14ac:dyDescent="0.25">
      <c r="A18" s="41" t="s">
        <v>7</v>
      </c>
      <c r="B18" s="219">
        <v>9875.19</v>
      </c>
      <c r="C18" s="236">
        <v>4961.09</v>
      </c>
      <c r="D18" s="369">
        <f t="shared" si="4"/>
        <v>0.50237919472941783</v>
      </c>
      <c r="E18" s="13">
        <v>2982.7700000000004</v>
      </c>
      <c r="F18" s="8">
        <f t="shared" si="5"/>
        <v>1498.4815906630658</v>
      </c>
      <c r="G18" s="7">
        <f t="shared" si="0"/>
        <v>90.817066100791862</v>
      </c>
      <c r="H18" s="8">
        <f t="shared" si="1"/>
        <v>1484.2884093369346</v>
      </c>
      <c r="I18" s="7">
        <f t="shared" si="2"/>
        <v>69.036670201717882</v>
      </c>
      <c r="J18" s="8">
        <f t="shared" si="6"/>
        <v>159.85373630250973</v>
      </c>
      <c r="K18" s="12">
        <f t="shared" si="3"/>
        <v>10228082.039053233</v>
      </c>
    </row>
    <row r="19" spans="1:11" x14ac:dyDescent="0.25">
      <c r="A19" s="41" t="s">
        <v>8</v>
      </c>
      <c r="B19" s="219">
        <v>3618.89</v>
      </c>
      <c r="C19" s="236">
        <v>2306.6999999999998</v>
      </c>
      <c r="D19" s="369">
        <f t="shared" si="4"/>
        <v>0.63740539226116288</v>
      </c>
      <c r="E19" s="13">
        <v>1099.1399999999999</v>
      </c>
      <c r="F19" s="8">
        <f t="shared" si="5"/>
        <v>700.5977628499345</v>
      </c>
      <c r="G19" s="7">
        <f t="shared" si="0"/>
        <v>42.460470475753603</v>
      </c>
      <c r="H19" s="8">
        <f t="shared" si="1"/>
        <v>398.54223715006538</v>
      </c>
      <c r="I19" s="7">
        <f t="shared" si="2"/>
        <v>18.536848239537925</v>
      </c>
      <c r="J19" s="8">
        <f t="shared" si="6"/>
        <v>60.997318715291527</v>
      </c>
      <c r="K19" s="12">
        <f t="shared" si="3"/>
        <v>3902852.6602695603</v>
      </c>
    </row>
    <row r="20" spans="1:11" x14ac:dyDescent="0.25">
      <c r="A20" s="41" t="s">
        <v>9</v>
      </c>
      <c r="B20" s="219">
        <v>2479.0500000000002</v>
      </c>
      <c r="C20" s="236">
        <v>1811.63</v>
      </c>
      <c r="D20" s="369">
        <f t="shared" si="4"/>
        <v>0.73077590205925658</v>
      </c>
      <c r="E20" s="13">
        <v>694.48</v>
      </c>
      <c r="F20" s="8">
        <f t="shared" si="5"/>
        <v>507.50924846211251</v>
      </c>
      <c r="G20" s="7">
        <f t="shared" si="0"/>
        <v>30.758136270431063</v>
      </c>
      <c r="H20" s="8">
        <f t="shared" si="1"/>
        <v>186.97075153788751</v>
      </c>
      <c r="I20" s="7">
        <f t="shared" si="2"/>
        <v>8.6963140250180242</v>
      </c>
      <c r="J20" s="8">
        <f t="shared" si="6"/>
        <v>39.454450295449085</v>
      </c>
      <c r="K20" s="12">
        <f t="shared" si="3"/>
        <v>2524453.6897400352</v>
      </c>
    </row>
    <row r="21" spans="1:11" x14ac:dyDescent="0.25">
      <c r="A21" s="41" t="s">
        <v>10</v>
      </c>
      <c r="B21" s="219">
        <v>2744.29</v>
      </c>
      <c r="C21" s="236">
        <v>1684.95</v>
      </c>
      <c r="D21" s="369">
        <f t="shared" si="4"/>
        <v>0.61398394484547913</v>
      </c>
      <c r="E21" s="13">
        <v>833.65</v>
      </c>
      <c r="F21" s="8">
        <f t="shared" si="5"/>
        <v>511.84771562043369</v>
      </c>
      <c r="G21" s="7">
        <f t="shared" si="0"/>
        <v>31.021073673965677</v>
      </c>
      <c r="H21" s="8">
        <f t="shared" si="1"/>
        <v>321.80228437956629</v>
      </c>
      <c r="I21" s="7">
        <f t="shared" si="2"/>
        <v>14.967548110677502</v>
      </c>
      <c r="J21" s="8">
        <f t="shared" si="6"/>
        <v>45.988621784643179</v>
      </c>
      <c r="K21" s="12">
        <f t="shared" si="3"/>
        <v>2942536.1418276476</v>
      </c>
    </row>
    <row r="22" spans="1:11" x14ac:dyDescent="0.25">
      <c r="A22" s="41" t="s">
        <v>11</v>
      </c>
      <c r="B22" s="219">
        <v>12671.61</v>
      </c>
      <c r="C22" s="236">
        <v>8210.69</v>
      </c>
      <c r="D22" s="369">
        <f t="shared" si="4"/>
        <v>0.64795949370285233</v>
      </c>
      <c r="E22" s="13">
        <v>3586.3500000000004</v>
      </c>
      <c r="F22" s="8">
        <f t="shared" si="5"/>
        <v>2323.8095302412248</v>
      </c>
      <c r="G22" s="7">
        <f t="shared" si="0"/>
        <v>140.83694122674089</v>
      </c>
      <c r="H22" s="8">
        <f t="shared" si="1"/>
        <v>1262.5404697587755</v>
      </c>
      <c r="I22" s="7">
        <f t="shared" si="2"/>
        <v>58.722812546919791</v>
      </c>
      <c r="J22" s="8">
        <f t="shared" si="6"/>
        <v>199.55975377366067</v>
      </c>
      <c r="K22" s="12">
        <f t="shared" si="3"/>
        <v>12768632.003869018</v>
      </c>
    </row>
    <row r="23" spans="1:11" x14ac:dyDescent="0.25">
      <c r="A23" s="41" t="s">
        <v>12</v>
      </c>
      <c r="B23" s="219">
        <v>1256.76</v>
      </c>
      <c r="C23" s="236">
        <v>988.98</v>
      </c>
      <c r="D23" s="369">
        <f t="shared" si="4"/>
        <v>0.78692829179795665</v>
      </c>
      <c r="E23" s="13">
        <v>378.63</v>
      </c>
      <c r="F23" s="8">
        <f t="shared" si="5"/>
        <v>297.95465912346032</v>
      </c>
      <c r="G23" s="7">
        <f t="shared" si="0"/>
        <v>18.057858128694566</v>
      </c>
      <c r="H23" s="8">
        <f t="shared" si="1"/>
        <v>80.675340876539678</v>
      </c>
      <c r="I23" s="7">
        <f t="shared" si="2"/>
        <v>3.7523414361181247</v>
      </c>
      <c r="J23" s="8">
        <f t="shared" si="6"/>
        <v>21.810199564812692</v>
      </c>
      <c r="K23" s="12">
        <f t="shared" si="3"/>
        <v>1395503.8874716936</v>
      </c>
    </row>
    <row r="24" spans="1:11" x14ac:dyDescent="0.25">
      <c r="A24" s="41" t="s">
        <v>13</v>
      </c>
      <c r="B24" s="219">
        <v>638.25</v>
      </c>
      <c r="C24" s="236">
        <v>596.16999999999996</v>
      </c>
      <c r="D24" s="369">
        <f t="shared" si="4"/>
        <v>0.93406972189580884</v>
      </c>
      <c r="E24" s="13">
        <v>168.07999999999998</v>
      </c>
      <c r="F24" s="8">
        <f t="shared" si="5"/>
        <v>156.99843885624753</v>
      </c>
      <c r="G24" s="7">
        <f t="shared" si="0"/>
        <v>9.5150569003786387</v>
      </c>
      <c r="H24" s="8">
        <f t="shared" si="1"/>
        <v>11.081561143752452</v>
      </c>
      <c r="I24" s="7">
        <f t="shared" si="2"/>
        <v>0.51542144854662564</v>
      </c>
      <c r="J24" s="8">
        <f t="shared" si="6"/>
        <v>10.030478348925264</v>
      </c>
      <c r="K24" s="12">
        <f t="shared" si="3"/>
        <v>641790.16278735618</v>
      </c>
    </row>
    <row r="25" spans="1:11" x14ac:dyDescent="0.25">
      <c r="A25" s="41" t="s">
        <v>14</v>
      </c>
      <c r="B25" s="219">
        <v>587.14</v>
      </c>
      <c r="C25" s="236">
        <v>560.97</v>
      </c>
      <c r="D25" s="369">
        <f t="shared" si="4"/>
        <v>0.95542800694893903</v>
      </c>
      <c r="E25" s="13">
        <v>177.38</v>
      </c>
      <c r="F25" s="8">
        <f t="shared" si="5"/>
        <v>169.4738198726028</v>
      </c>
      <c r="G25" s="7">
        <f t="shared" si="0"/>
        <v>10.271140598339564</v>
      </c>
      <c r="H25" s="8">
        <f t="shared" si="1"/>
        <v>7.9061801273971923</v>
      </c>
      <c r="I25" s="7">
        <f t="shared" si="2"/>
        <v>0.36772930825103223</v>
      </c>
      <c r="J25" s="8">
        <f t="shared" si="6"/>
        <v>10.638869906590596</v>
      </c>
      <c r="K25" s="12">
        <f t="shared" si="3"/>
        <v>680717.49040322436</v>
      </c>
    </row>
    <row r="26" spans="1:11" x14ac:dyDescent="0.25">
      <c r="A26" s="41" t="s">
        <v>15</v>
      </c>
      <c r="B26" s="219">
        <v>822.79</v>
      </c>
      <c r="C26" s="236">
        <v>627.70000000000005</v>
      </c>
      <c r="D26" s="369">
        <f t="shared" si="4"/>
        <v>0.76289211098822307</v>
      </c>
      <c r="E26" s="13">
        <v>241.39</v>
      </c>
      <c r="F26" s="8">
        <f t="shared" si="5"/>
        <v>184.15452667144714</v>
      </c>
      <c r="G26" s="7">
        <f t="shared" si="0"/>
        <v>11.160880404330129</v>
      </c>
      <c r="H26" s="8">
        <f t="shared" si="1"/>
        <v>57.235473328552843</v>
      </c>
      <c r="I26" s="7">
        <f t="shared" si="2"/>
        <v>2.6621150385373413</v>
      </c>
      <c r="J26" s="8">
        <f t="shared" si="6"/>
        <v>13.82299544286747</v>
      </c>
      <c r="K26" s="12">
        <f t="shared" si="3"/>
        <v>884450.59017921577</v>
      </c>
    </row>
    <row r="27" spans="1:11" x14ac:dyDescent="0.25">
      <c r="A27" s="41" t="s">
        <v>16</v>
      </c>
      <c r="B27" s="219">
        <v>2117.3200000000002</v>
      </c>
      <c r="C27" s="236">
        <v>1622.36</v>
      </c>
      <c r="D27" s="369">
        <f t="shared" si="4"/>
        <v>0.76623278484121427</v>
      </c>
      <c r="E27" s="13">
        <v>614.39</v>
      </c>
      <c r="F27" s="8">
        <f t="shared" si="5"/>
        <v>470.76576067859361</v>
      </c>
      <c r="G27" s="7">
        <f t="shared" si="0"/>
        <v>28.531258222945066</v>
      </c>
      <c r="H27" s="8">
        <f t="shared" si="1"/>
        <v>143.62423932140638</v>
      </c>
      <c r="I27" s="7">
        <f t="shared" si="2"/>
        <v>6.6801971777398315</v>
      </c>
      <c r="J27" s="8">
        <f t="shared" si="6"/>
        <v>35.211455400684898</v>
      </c>
      <c r="K27" s="12">
        <f t="shared" si="3"/>
        <v>2252969.8891186616</v>
      </c>
    </row>
    <row r="28" spans="1:11" x14ac:dyDescent="0.25">
      <c r="A28" s="41" t="s">
        <v>17</v>
      </c>
      <c r="B28" s="219">
        <v>21287.25</v>
      </c>
      <c r="C28" s="236">
        <v>12285.96</v>
      </c>
      <c r="D28" s="369">
        <f t="shared" si="4"/>
        <v>0.57715111158087584</v>
      </c>
      <c r="E28" s="13">
        <v>6327.75</v>
      </c>
      <c r="F28" s="8">
        <f t="shared" si="5"/>
        <v>3652.0679463058873</v>
      </c>
      <c r="G28" s="7">
        <f t="shared" si="0"/>
        <v>221.33745129126589</v>
      </c>
      <c r="H28" s="8">
        <f t="shared" si="1"/>
        <v>2675.6820536941127</v>
      </c>
      <c r="I28" s="7">
        <f t="shared" si="2"/>
        <v>124.45032807879593</v>
      </c>
      <c r="J28" s="8">
        <f t="shared" si="6"/>
        <v>345.7877793700618</v>
      </c>
      <c r="K28" s="12">
        <f t="shared" si="3"/>
        <v>22124886.520050038</v>
      </c>
    </row>
    <row r="29" spans="1:11" x14ac:dyDescent="0.25">
      <c r="A29" s="41" t="s">
        <v>18</v>
      </c>
      <c r="B29" s="219">
        <v>34520.18</v>
      </c>
      <c r="C29" s="236">
        <v>19753.580000000002</v>
      </c>
      <c r="D29" s="369">
        <f t="shared" si="4"/>
        <v>0.57223282149745458</v>
      </c>
      <c r="E29" s="13">
        <v>9845.130000000001</v>
      </c>
      <c r="F29" s="8">
        <f t="shared" si="5"/>
        <v>5633.706517909236</v>
      </c>
      <c r="G29" s="7">
        <f t="shared" si="0"/>
        <v>341.43675866116581</v>
      </c>
      <c r="H29" s="8">
        <f t="shared" si="1"/>
        <v>4211.423482090765</v>
      </c>
      <c r="I29" s="7">
        <f t="shared" si="2"/>
        <v>195.88016195770999</v>
      </c>
      <c r="J29" s="8">
        <f t="shared" si="6"/>
        <v>537.31692061887577</v>
      </c>
      <c r="K29" s="12">
        <f t="shared" si="3"/>
        <v>34379687.783219062</v>
      </c>
    </row>
    <row r="30" spans="1:11" x14ac:dyDescent="0.25">
      <c r="A30" s="41" t="s">
        <v>19</v>
      </c>
      <c r="B30" s="219">
        <v>1587.18</v>
      </c>
      <c r="C30" s="236">
        <v>1248.23</v>
      </c>
      <c r="D30" s="369">
        <f t="shared" si="4"/>
        <v>0.78644514169785407</v>
      </c>
      <c r="E30" s="13">
        <v>418.78</v>
      </c>
      <c r="F30" s="8">
        <f t="shared" si="5"/>
        <v>329.3474964402273</v>
      </c>
      <c r="G30" s="7">
        <f t="shared" si="0"/>
        <v>19.960454329710746</v>
      </c>
      <c r="H30" s="8">
        <f t="shared" si="1"/>
        <v>89.43250355977267</v>
      </c>
      <c r="I30" s="7">
        <f t="shared" si="2"/>
        <v>4.1596513283615195</v>
      </c>
      <c r="J30" s="8">
        <f t="shared" si="6"/>
        <v>24.120105658072266</v>
      </c>
      <c r="K30" s="12">
        <f t="shared" si="3"/>
        <v>1543300.9272584761</v>
      </c>
    </row>
    <row r="31" spans="1:11" x14ac:dyDescent="0.25">
      <c r="A31" s="41" t="s">
        <v>20</v>
      </c>
      <c r="B31" s="219">
        <v>46485.36</v>
      </c>
      <c r="C31" s="236">
        <v>24154.240000000002</v>
      </c>
      <c r="D31" s="369">
        <f t="shared" si="4"/>
        <v>0.51960961472601264</v>
      </c>
      <c r="E31" s="13">
        <v>12512.93</v>
      </c>
      <c r="F31" s="8">
        <f t="shared" si="5"/>
        <v>6501.8387363935653</v>
      </c>
      <c r="G31" s="7">
        <f t="shared" si="0"/>
        <v>394.05083250870092</v>
      </c>
      <c r="H31" s="8">
        <f t="shared" si="1"/>
        <v>6011.0912636064349</v>
      </c>
      <c r="I31" s="7">
        <f t="shared" si="2"/>
        <v>279.58564016774113</v>
      </c>
      <c r="J31" s="8">
        <f t="shared" si="6"/>
        <v>673.63647267644205</v>
      </c>
      <c r="K31" s="12">
        <f t="shared" si="3"/>
        <v>43101958.49282077</v>
      </c>
    </row>
    <row r="32" spans="1:11" x14ac:dyDescent="0.25">
      <c r="A32" s="41" t="s">
        <v>21</v>
      </c>
      <c r="B32" s="219">
        <v>8259.2199999999993</v>
      </c>
      <c r="C32" s="236">
        <v>6117.46</v>
      </c>
      <c r="D32" s="369">
        <f t="shared" si="4"/>
        <v>0.74068253418603702</v>
      </c>
      <c r="E32" s="13">
        <v>2364.21</v>
      </c>
      <c r="F32" s="8">
        <f t="shared" si="5"/>
        <v>1751.1290541479707</v>
      </c>
      <c r="G32" s="7">
        <f t="shared" si="0"/>
        <v>106.12903358472549</v>
      </c>
      <c r="H32" s="8">
        <f t="shared" si="1"/>
        <v>613.08094585202934</v>
      </c>
      <c r="I32" s="7">
        <f t="shared" si="2"/>
        <v>28.515392830326945</v>
      </c>
      <c r="J32" s="8">
        <f t="shared" si="6"/>
        <v>134.64442641505244</v>
      </c>
      <c r="K32" s="12">
        <f t="shared" si="3"/>
        <v>8615089.4644606505</v>
      </c>
    </row>
    <row r="33" spans="1:11" x14ac:dyDescent="0.25">
      <c r="A33" s="41" t="s">
        <v>22</v>
      </c>
      <c r="B33" s="219">
        <v>4970.04</v>
      </c>
      <c r="C33" s="236">
        <v>3916.87</v>
      </c>
      <c r="D33" s="369">
        <f t="shared" si="4"/>
        <v>0.78809627286701911</v>
      </c>
      <c r="E33" s="13">
        <v>1399.31</v>
      </c>
      <c r="F33" s="8">
        <f t="shared" si="5"/>
        <v>1102.7909955855484</v>
      </c>
      <c r="G33" s="7">
        <f t="shared" si="0"/>
        <v>66.835817914275665</v>
      </c>
      <c r="H33" s="8">
        <f t="shared" si="1"/>
        <v>296.5190044144515</v>
      </c>
      <c r="I33" s="7">
        <f t="shared" si="2"/>
        <v>13.791581600672163</v>
      </c>
      <c r="J33" s="8">
        <f t="shared" si="6"/>
        <v>80.627399514947825</v>
      </c>
      <c r="K33" s="12">
        <f t="shared" si="3"/>
        <v>5158863.8208230594</v>
      </c>
    </row>
    <row r="34" spans="1:11" x14ac:dyDescent="0.25">
      <c r="A34" s="41" t="s">
        <v>23</v>
      </c>
      <c r="B34" s="219">
        <v>6691.02</v>
      </c>
      <c r="C34" s="236">
        <v>5025.46</v>
      </c>
      <c r="D34" s="369">
        <f t="shared" si="4"/>
        <v>0.75107532184928449</v>
      </c>
      <c r="E34" s="13">
        <v>1930.68</v>
      </c>
      <c r="F34" s="8">
        <f t="shared" si="5"/>
        <v>1450.0861023879766</v>
      </c>
      <c r="G34" s="7">
        <f t="shared" si="0"/>
        <v>87.884006205331914</v>
      </c>
      <c r="H34" s="8">
        <f t="shared" si="1"/>
        <v>480.59389761202351</v>
      </c>
      <c r="I34" s="7">
        <f t="shared" si="2"/>
        <v>22.353204540094115</v>
      </c>
      <c r="J34" s="8">
        <f t="shared" si="6"/>
        <v>110.23721074542603</v>
      </c>
      <c r="K34" s="12">
        <f t="shared" si="3"/>
        <v>7053418.0891892975</v>
      </c>
    </row>
    <row r="35" spans="1:11" x14ac:dyDescent="0.25">
      <c r="A35" s="41" t="s">
        <v>24</v>
      </c>
      <c r="B35" s="219">
        <v>710.4</v>
      </c>
      <c r="C35" s="236">
        <v>656.97</v>
      </c>
      <c r="D35" s="369">
        <f t="shared" si="4"/>
        <v>0.92478885135135147</v>
      </c>
      <c r="E35" s="13">
        <v>216.26</v>
      </c>
      <c r="F35" s="8">
        <f t="shared" si="5"/>
        <v>199.99483699324327</v>
      </c>
      <c r="G35" s="7">
        <f t="shared" si="0"/>
        <v>12.120899211711713</v>
      </c>
      <c r="H35" s="8">
        <f t="shared" si="1"/>
        <v>16.265163006756723</v>
      </c>
      <c r="I35" s="7">
        <f t="shared" si="2"/>
        <v>0.75651920961659169</v>
      </c>
      <c r="J35" s="8">
        <f t="shared" si="6"/>
        <v>12.877418421328304</v>
      </c>
      <c r="K35" s="12">
        <f t="shared" si="3"/>
        <v>823948.78662897646</v>
      </c>
    </row>
    <row r="36" spans="1:11" x14ac:dyDescent="0.25">
      <c r="A36" s="41" t="s">
        <v>25</v>
      </c>
      <c r="B36" s="219">
        <v>2753.54</v>
      </c>
      <c r="C36" s="236">
        <v>2395.11</v>
      </c>
      <c r="D36" s="369">
        <f t="shared" si="4"/>
        <v>0.8698293832666314</v>
      </c>
      <c r="E36" s="13">
        <v>855.68</v>
      </c>
      <c r="F36" s="8">
        <f t="shared" si="5"/>
        <v>744.29560667359112</v>
      </c>
      <c r="G36" s="7">
        <f t="shared" si="0"/>
        <v>45.108824646884308</v>
      </c>
      <c r="H36" s="8">
        <f t="shared" si="1"/>
        <v>111.38439332640883</v>
      </c>
      <c r="I36" s="7">
        <f t="shared" si="2"/>
        <v>5.1806694570422707</v>
      </c>
      <c r="J36" s="8">
        <f t="shared" si="6"/>
        <v>50.289494103926579</v>
      </c>
      <c r="K36" s="12">
        <f t="shared" si="3"/>
        <v>3217723.171787817</v>
      </c>
    </row>
    <row r="37" spans="1:11" x14ac:dyDescent="0.25">
      <c r="A37" s="41" t="s">
        <v>26</v>
      </c>
      <c r="B37" s="219">
        <v>1253.3399999999999</v>
      </c>
      <c r="C37" s="236">
        <v>789.47</v>
      </c>
      <c r="D37" s="369">
        <f t="shared" si="4"/>
        <v>0.62989292610145697</v>
      </c>
      <c r="E37" s="13">
        <v>432.35</v>
      </c>
      <c r="F37" s="8">
        <f t="shared" si="5"/>
        <v>272.33420659996494</v>
      </c>
      <c r="G37" s="7">
        <f t="shared" si="0"/>
        <v>16.505103430300906</v>
      </c>
      <c r="H37" s="8">
        <f t="shared" si="1"/>
        <v>160.01579340003508</v>
      </c>
      <c r="I37" s="7">
        <f t="shared" si="2"/>
        <v>7.4425950418620967</v>
      </c>
      <c r="J37" s="8">
        <f t="shared" si="6"/>
        <v>23.947698472163005</v>
      </c>
      <c r="K37" s="12">
        <f t="shared" si="3"/>
        <v>1532269.6252545922</v>
      </c>
    </row>
    <row r="38" spans="1:11" x14ac:dyDescent="0.25">
      <c r="A38" s="41" t="s">
        <v>27</v>
      </c>
      <c r="B38" s="219">
        <v>5263.6</v>
      </c>
      <c r="C38" s="236">
        <v>4431.29</v>
      </c>
      <c r="D38" s="369">
        <f t="shared" si="4"/>
        <v>0.84187438255186553</v>
      </c>
      <c r="E38" s="13">
        <v>1491.06</v>
      </c>
      <c r="F38" s="8">
        <f t="shared" si="5"/>
        <v>1255.2852168477846</v>
      </c>
      <c r="G38" s="7">
        <f t="shared" si="0"/>
        <v>76.077891930168761</v>
      </c>
      <c r="H38" s="8">
        <f t="shared" si="1"/>
        <v>235.77478315221538</v>
      </c>
      <c r="I38" s="7">
        <f t="shared" si="2"/>
        <v>10.966268983823971</v>
      </c>
      <c r="J38" s="8">
        <f t="shared" si="6"/>
        <v>87.044160913992727</v>
      </c>
      <c r="K38" s="12">
        <f t="shared" si="3"/>
        <v>5569433.9052798897</v>
      </c>
    </row>
    <row r="39" spans="1:11" x14ac:dyDescent="0.25">
      <c r="A39" s="41" t="s">
        <v>28</v>
      </c>
      <c r="B39" s="219">
        <v>9606.7099999999991</v>
      </c>
      <c r="C39" s="236">
        <v>7456.46</v>
      </c>
      <c r="D39" s="369">
        <f t="shared" si="4"/>
        <v>0.77617207139593059</v>
      </c>
      <c r="E39" s="13">
        <v>2807.35</v>
      </c>
      <c r="F39" s="8">
        <f t="shared" si="5"/>
        <v>2178.9866646333658</v>
      </c>
      <c r="G39" s="7">
        <f t="shared" si="0"/>
        <v>132.05979785656763</v>
      </c>
      <c r="H39" s="8">
        <f t="shared" si="1"/>
        <v>628.36333536663415</v>
      </c>
      <c r="I39" s="7">
        <f t="shared" si="2"/>
        <v>29.226201644959726</v>
      </c>
      <c r="J39" s="8">
        <f t="shared" si="6"/>
        <v>161.28599950152736</v>
      </c>
      <c r="K39" s="12">
        <f t="shared" si="3"/>
        <v>10319723.972735325</v>
      </c>
    </row>
    <row r="40" spans="1:11" x14ac:dyDescent="0.25">
      <c r="A40" s="41" t="s">
        <v>29</v>
      </c>
      <c r="B40" s="219">
        <v>1528.03</v>
      </c>
      <c r="C40" s="236">
        <v>1086.46</v>
      </c>
      <c r="D40" s="369">
        <f t="shared" si="4"/>
        <v>0.711020071595453</v>
      </c>
      <c r="E40" s="13">
        <v>466.5</v>
      </c>
      <c r="F40" s="8">
        <f t="shared" si="5"/>
        <v>331.69086339927884</v>
      </c>
      <c r="G40" s="7">
        <f t="shared" si="0"/>
        <v>20.102476569653263</v>
      </c>
      <c r="H40" s="8">
        <f t="shared" si="1"/>
        <v>134.80913660072116</v>
      </c>
      <c r="I40" s="7">
        <f t="shared" si="2"/>
        <v>6.2701924000335421</v>
      </c>
      <c r="J40" s="8">
        <f t="shared" si="6"/>
        <v>26.372668969686806</v>
      </c>
      <c r="K40" s="12">
        <f t="shared" si="3"/>
        <v>1687428.9462980488</v>
      </c>
    </row>
    <row r="41" spans="1:11" x14ac:dyDescent="0.25">
      <c r="A41" s="41" t="s">
        <v>30</v>
      </c>
      <c r="B41" s="219">
        <v>3982.19</v>
      </c>
      <c r="C41" s="236">
        <v>3716.77</v>
      </c>
      <c r="D41" s="369">
        <f t="shared" si="4"/>
        <v>0.93334823300746572</v>
      </c>
      <c r="E41" s="13">
        <v>1155.44</v>
      </c>
      <c r="F41" s="8">
        <f t="shared" si="5"/>
        <v>1078.4278823461461</v>
      </c>
      <c r="G41" s="7">
        <f t="shared" si="0"/>
        <v>65.359265596736122</v>
      </c>
      <c r="H41" s="8">
        <f t="shared" si="1"/>
        <v>77.01211765385392</v>
      </c>
      <c r="I41" s="7">
        <f t="shared" si="2"/>
        <v>3.5819589606443683</v>
      </c>
      <c r="J41" s="8">
        <f t="shared" si="6"/>
        <v>68.941224557380494</v>
      </c>
      <c r="K41" s="12">
        <f t="shared" si="3"/>
        <v>4411135.5602678414</v>
      </c>
    </row>
    <row r="42" spans="1:11" x14ac:dyDescent="0.25">
      <c r="A42" s="41" t="s">
        <v>31</v>
      </c>
      <c r="B42" s="219">
        <v>25440.37</v>
      </c>
      <c r="C42" s="236">
        <v>13001.24</v>
      </c>
      <c r="D42" s="369">
        <f t="shared" si="4"/>
        <v>0.51104759875740802</v>
      </c>
      <c r="E42" s="13">
        <v>7597.2100000000009</v>
      </c>
      <c r="F42" s="8">
        <f t="shared" si="5"/>
        <v>3882.5359277557682</v>
      </c>
      <c r="G42" s="7">
        <f t="shared" si="0"/>
        <v>235.30520774277383</v>
      </c>
      <c r="H42" s="8">
        <f t="shared" si="1"/>
        <v>3714.6740722442328</v>
      </c>
      <c r="I42" s="7">
        <f t="shared" si="2"/>
        <v>172.77553824391779</v>
      </c>
      <c r="J42" s="8">
        <f t="shared" si="6"/>
        <v>408.08074598669162</v>
      </c>
      <c r="K42" s="12">
        <f t="shared" si="3"/>
        <v>26110639.920303162</v>
      </c>
    </row>
    <row r="43" spans="1:11" x14ac:dyDescent="0.25">
      <c r="A43" s="41" t="s">
        <v>32</v>
      </c>
      <c r="B43" s="219">
        <v>2145.29</v>
      </c>
      <c r="C43" s="236">
        <v>1651.18</v>
      </c>
      <c r="D43" s="369">
        <f t="shared" si="4"/>
        <v>0.76967682690918249</v>
      </c>
      <c r="E43" s="13">
        <v>655.13</v>
      </c>
      <c r="F43" s="8">
        <f t="shared" si="5"/>
        <v>504.23837961301274</v>
      </c>
      <c r="G43" s="7">
        <f t="shared" si="0"/>
        <v>30.559901794728045</v>
      </c>
      <c r="H43" s="8">
        <f t="shared" si="1"/>
        <v>150.89162038698726</v>
      </c>
      <c r="I43" s="7">
        <f t="shared" si="2"/>
        <v>7.0182149017203379</v>
      </c>
      <c r="J43" s="8">
        <f t="shared" si="6"/>
        <v>37.578116696448383</v>
      </c>
      <c r="K43" s="12">
        <f t="shared" si="3"/>
        <v>2404398.3539867732</v>
      </c>
    </row>
    <row r="44" spans="1:11" x14ac:dyDescent="0.25">
      <c r="A44" s="41" t="s">
        <v>33</v>
      </c>
      <c r="B44" s="219">
        <v>3224.83</v>
      </c>
      <c r="C44" s="236">
        <v>2075.11</v>
      </c>
      <c r="D44" s="369">
        <f t="shared" si="4"/>
        <v>0.64347888105729611</v>
      </c>
      <c r="E44" s="13">
        <v>794.18</v>
      </c>
      <c r="F44" s="8">
        <f t="shared" si="5"/>
        <v>511.03805775808337</v>
      </c>
      <c r="G44" s="7">
        <f t="shared" si="0"/>
        <v>30.972003500489901</v>
      </c>
      <c r="H44" s="8">
        <f t="shared" si="1"/>
        <v>283.14194224191658</v>
      </c>
      <c r="I44" s="7">
        <f t="shared" si="2"/>
        <v>13.169392662414724</v>
      </c>
      <c r="J44" s="8">
        <f t="shared" si="6"/>
        <v>44.141396162904627</v>
      </c>
      <c r="K44" s="12">
        <f t="shared" si="3"/>
        <v>2824343.2509963159</v>
      </c>
    </row>
    <row r="45" spans="1:11" x14ac:dyDescent="0.25">
      <c r="A45" s="41" t="s">
        <v>34</v>
      </c>
      <c r="B45" s="219">
        <v>2373.3200000000002</v>
      </c>
      <c r="C45" s="236">
        <v>2070.19</v>
      </c>
      <c r="D45" s="369">
        <f t="shared" si="4"/>
        <v>0.87227596784251593</v>
      </c>
      <c r="E45" s="13">
        <v>716.09000000000015</v>
      </c>
      <c r="F45" s="8">
        <f t="shared" si="5"/>
        <v>624.62809781234739</v>
      </c>
      <c r="G45" s="7">
        <f t="shared" si="0"/>
        <v>37.856248352263478</v>
      </c>
      <c r="H45" s="8">
        <f t="shared" si="1"/>
        <v>91.461902187652754</v>
      </c>
      <c r="I45" s="7">
        <f t="shared" si="2"/>
        <v>4.254041962216407</v>
      </c>
      <c r="J45" s="8">
        <f t="shared" si="6"/>
        <v>42.110290314479883</v>
      </c>
      <c r="K45" s="12">
        <f t="shared" si="3"/>
        <v>2694384.9670787258</v>
      </c>
    </row>
    <row r="46" spans="1:11" x14ac:dyDescent="0.25">
      <c r="A46" s="41" t="s">
        <v>35</v>
      </c>
      <c r="B46" s="219">
        <v>15667.43</v>
      </c>
      <c r="C46" s="236">
        <v>10603.64</v>
      </c>
      <c r="D46" s="369">
        <f t="shared" si="4"/>
        <v>0.67679510934467235</v>
      </c>
      <c r="E46" s="13">
        <v>4618.9400000000005</v>
      </c>
      <c r="F46" s="8">
        <f t="shared" si="5"/>
        <v>3126.0760023564812</v>
      </c>
      <c r="G46" s="7">
        <f t="shared" si="0"/>
        <v>189.45915165796856</v>
      </c>
      <c r="H46" s="8">
        <f t="shared" si="1"/>
        <v>1492.8639976435193</v>
      </c>
      <c r="I46" s="7">
        <f t="shared" si="2"/>
        <v>69.435534774117173</v>
      </c>
      <c r="J46" s="8">
        <f t="shared" si="6"/>
        <v>258.89468643208573</v>
      </c>
      <c r="K46" s="12">
        <f t="shared" si="3"/>
        <v>16565118.548691444</v>
      </c>
    </row>
    <row r="47" spans="1:11" x14ac:dyDescent="0.25">
      <c r="A47" s="41" t="s">
        <v>36</v>
      </c>
      <c r="B47" s="219">
        <v>1091.3900000000001</v>
      </c>
      <c r="C47" s="236">
        <v>772.62</v>
      </c>
      <c r="D47" s="369">
        <f t="shared" si="4"/>
        <v>0.70792292397767975</v>
      </c>
      <c r="E47" s="13">
        <v>386.54</v>
      </c>
      <c r="F47" s="8">
        <f t="shared" ref="F47:F78" si="7">E47*D47</f>
        <v>273.64052703433237</v>
      </c>
      <c r="G47" s="7">
        <f t="shared" ref="G47:G78" si="8">(F47/$F$4)</f>
        <v>16.584274365717114</v>
      </c>
      <c r="H47" s="8">
        <f t="shared" ref="H47:H78" si="9">E47-F47</f>
        <v>112.89947296566766</v>
      </c>
      <c r="I47" s="7">
        <f t="shared" ref="I47:I78" si="10">(H47/$F$5)</f>
        <v>5.2511382774729141</v>
      </c>
      <c r="J47" s="8">
        <f t="shared" si="6"/>
        <v>21.835412643190029</v>
      </c>
      <c r="K47" s="12">
        <f t="shared" ref="K47:K78" si="11">J47*$B$7</f>
        <v>1397117.1211693562</v>
      </c>
    </row>
    <row r="48" spans="1:11" x14ac:dyDescent="0.25">
      <c r="A48" s="41" t="s">
        <v>37</v>
      </c>
      <c r="B48" s="219">
        <v>3269.06</v>
      </c>
      <c r="C48" s="236">
        <v>2915.7</v>
      </c>
      <c r="D48" s="369">
        <f t="shared" si="4"/>
        <v>0.89190776553504669</v>
      </c>
      <c r="E48" s="13">
        <v>857.06</v>
      </c>
      <c r="F48" s="8">
        <f t="shared" si="7"/>
        <v>764.41846952946707</v>
      </c>
      <c r="G48" s="7">
        <f t="shared" si="8"/>
        <v>46.328392092694976</v>
      </c>
      <c r="H48" s="8">
        <f t="shared" si="9"/>
        <v>92.641530470532871</v>
      </c>
      <c r="I48" s="7">
        <f t="shared" si="10"/>
        <v>4.3089083939782729</v>
      </c>
      <c r="J48" s="8">
        <f t="shared" si="6"/>
        <v>50.637300486673247</v>
      </c>
      <c r="K48" s="12">
        <f t="shared" si="11"/>
        <v>3239977.2166335825</v>
      </c>
    </row>
    <row r="49" spans="1:11" x14ac:dyDescent="0.25">
      <c r="A49" s="41" t="s">
        <v>38</v>
      </c>
      <c r="B49" s="219">
        <v>656.05</v>
      </c>
      <c r="C49" s="236">
        <v>619.41</v>
      </c>
      <c r="D49" s="369">
        <f t="shared" si="4"/>
        <v>0.94415059827757031</v>
      </c>
      <c r="E49" s="13">
        <v>164.95</v>
      </c>
      <c r="F49" s="8">
        <f t="shared" si="7"/>
        <v>155.73764118588522</v>
      </c>
      <c r="G49" s="7">
        <f t="shared" si="8"/>
        <v>9.4386449203566798</v>
      </c>
      <c r="H49" s="8">
        <f t="shared" si="9"/>
        <v>9.212358814114765</v>
      </c>
      <c r="I49" s="7">
        <f t="shared" si="10"/>
        <v>0.4284818053076635</v>
      </c>
      <c r="J49" s="8">
        <f t="shared" si="6"/>
        <v>9.8671267256643436</v>
      </c>
      <c r="K49" s="12">
        <f t="shared" si="11"/>
        <v>631338.27193656354</v>
      </c>
    </row>
    <row r="50" spans="1:11" x14ac:dyDescent="0.25">
      <c r="A50" s="41" t="s">
        <v>39</v>
      </c>
      <c r="B50" s="219">
        <v>1181.8699999999999</v>
      </c>
      <c r="C50" s="236">
        <v>827.32</v>
      </c>
      <c r="D50" s="369">
        <f t="shared" si="4"/>
        <v>0.70000930728421917</v>
      </c>
      <c r="E50" s="13">
        <v>342.13</v>
      </c>
      <c r="F50" s="8">
        <f t="shared" si="7"/>
        <v>239.49418430114991</v>
      </c>
      <c r="G50" s="7">
        <f t="shared" si="8"/>
        <v>14.51479904855454</v>
      </c>
      <c r="H50" s="8">
        <f t="shared" si="9"/>
        <v>102.63581569885008</v>
      </c>
      <c r="I50" s="7">
        <f t="shared" si="10"/>
        <v>4.7737588697139577</v>
      </c>
      <c r="J50" s="8">
        <f t="shared" si="6"/>
        <v>19.288557918268499</v>
      </c>
      <c r="K50" s="12">
        <f t="shared" si="11"/>
        <v>1234159.1592813001</v>
      </c>
    </row>
    <row r="51" spans="1:11" x14ac:dyDescent="0.25">
      <c r="A51" s="41" t="s">
        <v>40</v>
      </c>
      <c r="B51" s="219">
        <v>8929.7900000000009</v>
      </c>
      <c r="C51" s="236">
        <v>6097.28</v>
      </c>
      <c r="D51" s="369">
        <f t="shared" si="4"/>
        <v>0.68280217115968</v>
      </c>
      <c r="E51" s="13">
        <v>2742.92</v>
      </c>
      <c r="F51" s="8">
        <f t="shared" si="7"/>
        <v>1872.8717313173095</v>
      </c>
      <c r="G51" s="7">
        <f t="shared" si="8"/>
        <v>113.50737765559451</v>
      </c>
      <c r="H51" s="8">
        <f t="shared" si="9"/>
        <v>870.0482686826906</v>
      </c>
      <c r="I51" s="7">
        <f t="shared" si="10"/>
        <v>40.467361334078632</v>
      </c>
      <c r="J51" s="8">
        <f t="shared" si="6"/>
        <v>153.97473898967314</v>
      </c>
      <c r="K51" s="12">
        <f t="shared" si="11"/>
        <v>9851920.2538243067</v>
      </c>
    </row>
    <row r="52" spans="1:11" x14ac:dyDescent="0.25">
      <c r="A52" s="41" t="s">
        <v>41</v>
      </c>
      <c r="B52" s="219">
        <v>74161.66</v>
      </c>
      <c r="C52" s="236">
        <v>40174.94</v>
      </c>
      <c r="D52" s="369">
        <f t="shared" si="4"/>
        <v>0.54172115349090078</v>
      </c>
      <c r="E52" s="13">
        <v>20728.95</v>
      </c>
      <c r="F52" s="8">
        <f t="shared" si="7"/>
        <v>11229.310704655209</v>
      </c>
      <c r="G52" s="7">
        <f t="shared" si="8"/>
        <v>680.56428513061871</v>
      </c>
      <c r="H52" s="8">
        <f t="shared" si="9"/>
        <v>9499.6392953447921</v>
      </c>
      <c r="I52" s="7">
        <f t="shared" si="10"/>
        <v>441.84368815557173</v>
      </c>
      <c r="J52" s="8">
        <f t="shared" si="6"/>
        <v>1122.4079732861906</v>
      </c>
      <c r="K52" s="12">
        <f t="shared" si="11"/>
        <v>71816155.803412318</v>
      </c>
    </row>
    <row r="53" spans="1:11" x14ac:dyDescent="0.25">
      <c r="A53" s="41" t="s">
        <v>42</v>
      </c>
      <c r="B53" s="219">
        <v>8515.0300000000007</v>
      </c>
      <c r="C53" s="236">
        <v>6247.89</v>
      </c>
      <c r="D53" s="369">
        <f t="shared" si="4"/>
        <v>0.73374844245997961</v>
      </c>
      <c r="E53" s="13">
        <v>2298.8399999999997</v>
      </c>
      <c r="F53" s="8">
        <f t="shared" si="7"/>
        <v>1686.7702694646994</v>
      </c>
      <c r="G53" s="7">
        <f t="shared" si="8"/>
        <v>102.22850117967874</v>
      </c>
      <c r="H53" s="8">
        <f t="shared" si="9"/>
        <v>612.06973053530032</v>
      </c>
      <c r="I53" s="7">
        <f t="shared" si="10"/>
        <v>28.468359559781412</v>
      </c>
      <c r="J53" s="8">
        <f t="shared" si="6"/>
        <v>130.69686073946016</v>
      </c>
      <c r="K53" s="12">
        <f t="shared" si="11"/>
        <v>8362508.4080623174</v>
      </c>
    </row>
    <row r="54" spans="1:11" x14ac:dyDescent="0.25">
      <c r="A54" s="41" t="s">
        <v>43</v>
      </c>
      <c r="B54" s="219">
        <v>898.58</v>
      </c>
      <c r="C54" s="236">
        <v>677.73</v>
      </c>
      <c r="D54" s="369">
        <f t="shared" si="4"/>
        <v>0.75422333014311471</v>
      </c>
      <c r="E54" s="13">
        <v>257.32000000000005</v>
      </c>
      <c r="F54" s="8">
        <f t="shared" si="7"/>
        <v>194.07674731242631</v>
      </c>
      <c r="G54" s="7">
        <f t="shared" si="8"/>
        <v>11.762227109844019</v>
      </c>
      <c r="H54" s="8">
        <f t="shared" si="9"/>
        <v>63.243252687573744</v>
      </c>
      <c r="I54" s="7">
        <f t="shared" si="10"/>
        <v>2.9415466366313368</v>
      </c>
      <c r="J54" s="8">
        <f t="shared" si="6"/>
        <v>14.703773746475356</v>
      </c>
      <c r="K54" s="12">
        <f t="shared" si="11"/>
        <v>940806.31232806458</v>
      </c>
    </row>
    <row r="55" spans="1:11" x14ac:dyDescent="0.25">
      <c r="A55" s="41" t="s">
        <v>44</v>
      </c>
      <c r="B55" s="219">
        <v>1516.32</v>
      </c>
      <c r="C55" s="236">
        <v>927.29</v>
      </c>
      <c r="D55" s="369">
        <f t="shared" si="4"/>
        <v>0.61153978052126201</v>
      </c>
      <c r="E55" s="13">
        <v>444.10999999999996</v>
      </c>
      <c r="F55" s="8">
        <f t="shared" si="7"/>
        <v>271.59093192729762</v>
      </c>
      <c r="G55" s="7">
        <f t="shared" si="8"/>
        <v>16.46005648044228</v>
      </c>
      <c r="H55" s="8">
        <f t="shared" si="9"/>
        <v>172.51906807270234</v>
      </c>
      <c r="I55" s="7">
        <f t="shared" si="10"/>
        <v>8.0241427010559221</v>
      </c>
      <c r="J55" s="8">
        <f t="shared" si="6"/>
        <v>24.484199181498202</v>
      </c>
      <c r="K55" s="12">
        <f t="shared" si="11"/>
        <v>1566597.0885720979</v>
      </c>
    </row>
    <row r="56" spans="1:11" x14ac:dyDescent="0.25">
      <c r="A56" s="41" t="s">
        <v>45</v>
      </c>
      <c r="B56" s="219">
        <v>2087.65</v>
      </c>
      <c r="C56" s="236">
        <v>1641.59</v>
      </c>
      <c r="D56" s="369">
        <f t="shared" si="4"/>
        <v>0.78633391612578729</v>
      </c>
      <c r="E56" s="13">
        <v>615.37</v>
      </c>
      <c r="F56" s="8">
        <f t="shared" si="7"/>
        <v>483.88630196632573</v>
      </c>
      <c r="G56" s="7">
        <f t="shared" si="8"/>
        <v>29.32644254341368</v>
      </c>
      <c r="H56" s="8">
        <f t="shared" si="9"/>
        <v>131.48369803367427</v>
      </c>
      <c r="I56" s="7">
        <f t="shared" si="10"/>
        <v>6.1155208387755478</v>
      </c>
      <c r="J56" s="8">
        <f t="shared" si="6"/>
        <v>35.441963382189229</v>
      </c>
      <c r="K56" s="12">
        <f t="shared" si="11"/>
        <v>2267718.7126370636</v>
      </c>
    </row>
    <row r="57" spans="1:11" x14ac:dyDescent="0.25">
      <c r="A57" s="41" t="s">
        <v>46</v>
      </c>
      <c r="B57" s="219">
        <v>662.1</v>
      </c>
      <c r="C57" s="236">
        <v>607.41</v>
      </c>
      <c r="D57" s="369">
        <f t="shared" si="4"/>
        <v>0.91739918441323054</v>
      </c>
      <c r="E57" s="13">
        <v>180.89999999999998</v>
      </c>
      <c r="F57" s="8">
        <f t="shared" si="7"/>
        <v>165.95751246035337</v>
      </c>
      <c r="G57" s="7">
        <f t="shared" si="8"/>
        <v>10.058031058203234</v>
      </c>
      <c r="H57" s="8">
        <f t="shared" si="9"/>
        <v>14.942487539646606</v>
      </c>
      <c r="I57" s="7">
        <f t="shared" si="10"/>
        <v>0.69499942044867935</v>
      </c>
      <c r="J57" s="8">
        <f t="shared" si="6"/>
        <v>10.753030478651914</v>
      </c>
      <c r="K57" s="12">
        <f t="shared" si="11"/>
        <v>688021.94085697376</v>
      </c>
    </row>
    <row r="58" spans="1:11" x14ac:dyDescent="0.25">
      <c r="A58" s="41" t="s">
        <v>47</v>
      </c>
      <c r="B58" s="219">
        <v>43529.94</v>
      </c>
      <c r="C58" s="236">
        <v>28552.12</v>
      </c>
      <c r="D58" s="369">
        <f t="shared" si="4"/>
        <v>0.65591912141390496</v>
      </c>
      <c r="E58" s="13">
        <v>12826.59</v>
      </c>
      <c r="F58" s="8">
        <f t="shared" si="7"/>
        <v>8413.2056435363793</v>
      </c>
      <c r="G58" s="7">
        <f t="shared" si="8"/>
        <v>509.89125112341691</v>
      </c>
      <c r="H58" s="8">
        <f t="shared" si="9"/>
        <v>4413.3843564636209</v>
      </c>
      <c r="I58" s="7">
        <f t="shared" si="10"/>
        <v>205.27369099830796</v>
      </c>
      <c r="J58" s="8">
        <f t="shared" si="6"/>
        <v>715.16494212172483</v>
      </c>
      <c r="K58" s="12">
        <f t="shared" si="11"/>
        <v>45759116.231310233</v>
      </c>
    </row>
    <row r="59" spans="1:11" x14ac:dyDescent="0.25">
      <c r="A59" s="41" t="s">
        <v>48</v>
      </c>
      <c r="B59" s="219">
        <v>2404.8000000000002</v>
      </c>
      <c r="C59" s="236">
        <v>2167.39</v>
      </c>
      <c r="D59" s="369">
        <f t="shared" si="4"/>
        <v>0.90127661343978693</v>
      </c>
      <c r="E59" s="13">
        <v>618.4</v>
      </c>
      <c r="F59" s="8">
        <f t="shared" si="7"/>
        <v>557.34945775116421</v>
      </c>
      <c r="G59" s="7">
        <f t="shared" si="8"/>
        <v>33.778755015222075</v>
      </c>
      <c r="H59" s="8">
        <f t="shared" si="9"/>
        <v>61.050542248835768</v>
      </c>
      <c r="I59" s="7">
        <f t="shared" si="10"/>
        <v>2.8395601045970125</v>
      </c>
      <c r="J59" s="8">
        <f t="shared" si="6"/>
        <v>36.618315119819087</v>
      </c>
      <c r="K59" s="12">
        <f t="shared" si="11"/>
        <v>2342986.4064524388</v>
      </c>
    </row>
    <row r="60" spans="1:11" x14ac:dyDescent="0.25">
      <c r="A60" s="41" t="s">
        <v>49</v>
      </c>
      <c r="B60" s="219">
        <v>10525.82</v>
      </c>
      <c r="C60" s="236">
        <v>6404.09</v>
      </c>
      <c r="D60" s="369">
        <f t="shared" si="4"/>
        <v>0.60841720645042385</v>
      </c>
      <c r="E60" s="13">
        <v>3050.58</v>
      </c>
      <c r="F60" s="8">
        <f t="shared" si="7"/>
        <v>1856.025361653534</v>
      </c>
      <c r="G60" s="7">
        <f t="shared" si="8"/>
        <v>112.48638555475964</v>
      </c>
      <c r="H60" s="8">
        <f t="shared" si="9"/>
        <v>1194.5546383464659</v>
      </c>
      <c r="I60" s="7">
        <f t="shared" si="10"/>
        <v>55.560680853323994</v>
      </c>
      <c r="J60" s="8">
        <f t="shared" si="6"/>
        <v>168.04706640808362</v>
      </c>
      <c r="K60" s="12">
        <f t="shared" si="11"/>
        <v>10752324.102024261</v>
      </c>
    </row>
    <row r="61" spans="1:11" x14ac:dyDescent="0.25">
      <c r="A61" s="41" t="s">
        <v>50</v>
      </c>
      <c r="B61" s="219">
        <v>13258.42</v>
      </c>
      <c r="C61" s="236">
        <v>7286.27</v>
      </c>
      <c r="D61" s="369">
        <f t="shared" si="4"/>
        <v>0.54955794129315561</v>
      </c>
      <c r="E61" s="13">
        <v>3552.19</v>
      </c>
      <c r="F61" s="8">
        <f t="shared" si="7"/>
        <v>1952.1342234821345</v>
      </c>
      <c r="G61" s="7">
        <f t="shared" si="8"/>
        <v>118.3111650595233</v>
      </c>
      <c r="H61" s="8">
        <f t="shared" si="9"/>
        <v>1600.0557765178655</v>
      </c>
      <c r="I61" s="7">
        <f t="shared" si="10"/>
        <v>74.421198907807693</v>
      </c>
      <c r="J61" s="8">
        <f t="shared" si="6"/>
        <v>192.732363967331</v>
      </c>
      <c r="K61" s="12">
        <f t="shared" si="11"/>
        <v>12331788.269922215</v>
      </c>
    </row>
    <row r="62" spans="1:11" x14ac:dyDescent="0.25">
      <c r="A62" s="41" t="s">
        <v>51</v>
      </c>
      <c r="B62" s="219">
        <v>5388.16</v>
      </c>
      <c r="C62" s="236">
        <v>4016.61</v>
      </c>
      <c r="D62" s="369">
        <f t="shared" si="4"/>
        <v>0.74545113730846901</v>
      </c>
      <c r="E62" s="13">
        <v>1466.01</v>
      </c>
      <c r="F62" s="8">
        <f t="shared" si="7"/>
        <v>1092.8388218055886</v>
      </c>
      <c r="G62" s="7">
        <f t="shared" si="8"/>
        <v>66.232655867005377</v>
      </c>
      <c r="H62" s="8">
        <f t="shared" si="9"/>
        <v>373.17117819441137</v>
      </c>
      <c r="I62" s="7">
        <f t="shared" si="10"/>
        <v>17.356798985786575</v>
      </c>
      <c r="J62" s="8">
        <f t="shared" si="6"/>
        <v>83.58945485279196</v>
      </c>
      <c r="K62" s="12">
        <f t="shared" si="11"/>
        <v>5348387.9802230783</v>
      </c>
    </row>
    <row r="63" spans="1:11" x14ac:dyDescent="0.25">
      <c r="A63" s="41" t="s">
        <v>52</v>
      </c>
      <c r="B63" s="219">
        <v>2979.52</v>
      </c>
      <c r="C63" s="236">
        <v>2390.0300000000002</v>
      </c>
      <c r="D63" s="369">
        <f t="shared" si="4"/>
        <v>0.80215269573622605</v>
      </c>
      <c r="E63" s="13">
        <v>857.9</v>
      </c>
      <c r="F63" s="8">
        <f t="shared" si="7"/>
        <v>688.16679767210826</v>
      </c>
      <c r="G63" s="7">
        <f t="shared" si="8"/>
        <v>41.707078646794443</v>
      </c>
      <c r="H63" s="8">
        <f t="shared" si="9"/>
        <v>169.73320232789172</v>
      </c>
      <c r="I63" s="7">
        <f t="shared" si="10"/>
        <v>7.8945675501344983</v>
      </c>
      <c r="J63" s="8">
        <f t="shared" si="6"/>
        <v>49.60164619692894</v>
      </c>
      <c r="K63" s="12">
        <f t="shared" si="11"/>
        <v>3173711.9088302273</v>
      </c>
    </row>
    <row r="64" spans="1:11" x14ac:dyDescent="0.25">
      <c r="A64" s="41" t="s">
        <v>53</v>
      </c>
      <c r="B64" s="219">
        <v>1729.85</v>
      </c>
      <c r="C64" s="236">
        <v>1597.53</v>
      </c>
      <c r="D64" s="369">
        <f t="shared" si="4"/>
        <v>0.92350781859698816</v>
      </c>
      <c r="E64" s="13">
        <v>563.23</v>
      </c>
      <c r="F64" s="8">
        <f t="shared" si="7"/>
        <v>520.1473086683817</v>
      </c>
      <c r="G64" s="7">
        <f t="shared" si="8"/>
        <v>31.524079313235255</v>
      </c>
      <c r="H64" s="8">
        <f t="shared" si="9"/>
        <v>43.082691331618321</v>
      </c>
      <c r="I64" s="7">
        <f t="shared" si="10"/>
        <v>2.0038461084473638</v>
      </c>
      <c r="J64" s="8">
        <f t="shared" si="6"/>
        <v>33.527925421682617</v>
      </c>
      <c r="K64" s="12">
        <f t="shared" si="11"/>
        <v>2145250.900881472</v>
      </c>
    </row>
    <row r="65" spans="1:11" x14ac:dyDescent="0.25">
      <c r="A65" s="41" t="s">
        <v>54</v>
      </c>
      <c r="B65" s="219">
        <v>25998.85</v>
      </c>
      <c r="C65" s="236">
        <v>11560.42</v>
      </c>
      <c r="D65" s="369">
        <f t="shared" si="4"/>
        <v>0.44465120572640715</v>
      </c>
      <c r="E65" s="13">
        <v>7720.8000000000011</v>
      </c>
      <c r="F65" s="8">
        <f t="shared" si="7"/>
        <v>3433.0630291724447</v>
      </c>
      <c r="G65" s="7">
        <f t="shared" si="8"/>
        <v>208.0644260104512</v>
      </c>
      <c r="H65" s="8">
        <f t="shared" si="9"/>
        <v>4287.7369708275564</v>
      </c>
      <c r="I65" s="7">
        <f t="shared" si="10"/>
        <v>199.42962655011891</v>
      </c>
      <c r="J65" s="8">
        <f t="shared" si="6"/>
        <v>407.49405256057014</v>
      </c>
      <c r="K65" s="12">
        <f t="shared" si="11"/>
        <v>26073100.926014107</v>
      </c>
    </row>
    <row r="66" spans="1:11" x14ac:dyDescent="0.25">
      <c r="A66" s="41" t="s">
        <v>55</v>
      </c>
      <c r="B66" s="219">
        <v>8632.56</v>
      </c>
      <c r="C66" s="236">
        <v>6583.08</v>
      </c>
      <c r="D66" s="369">
        <f t="shared" si="4"/>
        <v>0.76258722789068367</v>
      </c>
      <c r="E66" s="13">
        <v>2286.59</v>
      </c>
      <c r="F66" s="8">
        <f t="shared" si="7"/>
        <v>1743.7243294225584</v>
      </c>
      <c r="G66" s="7">
        <f t="shared" si="8"/>
        <v>105.68026238924597</v>
      </c>
      <c r="H66" s="8">
        <f t="shared" si="9"/>
        <v>542.86567057744173</v>
      </c>
      <c r="I66" s="7">
        <f t="shared" si="10"/>
        <v>25.249566073369383</v>
      </c>
      <c r="J66" s="8">
        <f t="shared" si="6"/>
        <v>130.92982846261535</v>
      </c>
      <c r="K66" s="12">
        <f t="shared" si="11"/>
        <v>8377414.615699362</v>
      </c>
    </row>
    <row r="67" spans="1:11" x14ac:dyDescent="0.25">
      <c r="A67" s="41" t="s">
        <v>56</v>
      </c>
      <c r="B67" s="219">
        <v>1939.18</v>
      </c>
      <c r="C67" s="236">
        <v>1384.39</v>
      </c>
      <c r="D67" s="369">
        <f t="shared" si="4"/>
        <v>0.71390484637836615</v>
      </c>
      <c r="E67" s="13">
        <v>560.27</v>
      </c>
      <c r="F67" s="8">
        <f t="shared" si="7"/>
        <v>399.97946828040722</v>
      </c>
      <c r="G67" s="7">
        <f t="shared" si="8"/>
        <v>24.241179895782256</v>
      </c>
      <c r="H67" s="8">
        <f t="shared" si="9"/>
        <v>160.29053171959276</v>
      </c>
      <c r="I67" s="7">
        <f t="shared" si="10"/>
        <v>7.4553735683531519</v>
      </c>
      <c r="J67" s="8">
        <f t="shared" si="6"/>
        <v>31.696553464135409</v>
      </c>
      <c r="K67" s="12">
        <f t="shared" si="11"/>
        <v>2028072.3909568323</v>
      </c>
    </row>
    <row r="68" spans="1:11" x14ac:dyDescent="0.25">
      <c r="A68" s="41" t="s">
        <v>57</v>
      </c>
      <c r="B68" s="219">
        <v>3124.12</v>
      </c>
      <c r="C68" s="236">
        <v>2504.67</v>
      </c>
      <c r="D68" s="369">
        <f t="shared" si="4"/>
        <v>0.80172016439829463</v>
      </c>
      <c r="E68" s="13">
        <v>846.27</v>
      </c>
      <c r="F68" s="8">
        <f t="shared" si="7"/>
        <v>678.47172352534483</v>
      </c>
      <c r="G68" s="7">
        <f t="shared" si="8"/>
        <v>41.119498395475446</v>
      </c>
      <c r="H68" s="8">
        <f t="shared" si="9"/>
        <v>167.79827647465515</v>
      </c>
      <c r="I68" s="7">
        <f t="shared" si="10"/>
        <v>7.8045709988211698</v>
      </c>
      <c r="J68" s="8">
        <f t="shared" si="6"/>
        <v>48.924069394296616</v>
      </c>
      <c r="K68" s="12">
        <f t="shared" si="11"/>
        <v>3130357.8322513243</v>
      </c>
    </row>
    <row r="69" spans="1:11" x14ac:dyDescent="0.25">
      <c r="A69" s="41" t="s">
        <v>58</v>
      </c>
      <c r="B69" s="219">
        <v>16899.259999999998</v>
      </c>
      <c r="C69" s="236">
        <v>7185.6</v>
      </c>
      <c r="D69" s="369">
        <f t="shared" si="4"/>
        <v>0.42520205026728985</v>
      </c>
      <c r="E69" s="13">
        <v>5531.96</v>
      </c>
      <c r="F69" s="8">
        <f t="shared" si="7"/>
        <v>2352.2007339966367</v>
      </c>
      <c r="G69" s="7">
        <f t="shared" si="8"/>
        <v>142.55762024222039</v>
      </c>
      <c r="H69" s="8">
        <f t="shared" si="9"/>
        <v>3179.7592660033633</v>
      </c>
      <c r="I69" s="7">
        <f t="shared" si="10"/>
        <v>147.89577981410991</v>
      </c>
      <c r="J69" s="8">
        <f t="shared" si="6"/>
        <v>290.45340005633034</v>
      </c>
      <c r="K69" s="12">
        <f t="shared" si="11"/>
        <v>18584371.394836478</v>
      </c>
    </row>
    <row r="70" spans="1:11" x14ac:dyDescent="0.25">
      <c r="A70" s="41" t="s">
        <v>59</v>
      </c>
      <c r="B70" s="219">
        <v>4230.8599999999997</v>
      </c>
      <c r="C70" s="236">
        <v>3894.1</v>
      </c>
      <c r="D70" s="369">
        <f t="shared" si="4"/>
        <v>0.92040388951655228</v>
      </c>
      <c r="E70" s="13">
        <v>1229.77</v>
      </c>
      <c r="F70" s="8">
        <f t="shared" si="7"/>
        <v>1131.8850912107705</v>
      </c>
      <c r="G70" s="7">
        <f t="shared" si="8"/>
        <v>68.599096437016399</v>
      </c>
      <c r="H70" s="8">
        <f t="shared" si="9"/>
        <v>97.884908789229485</v>
      </c>
      <c r="I70" s="7">
        <f t="shared" si="10"/>
        <v>4.5527864553129991</v>
      </c>
      <c r="J70" s="8">
        <f t="shared" si="6"/>
        <v>73.151882892329397</v>
      </c>
      <c r="K70" s="12">
        <f t="shared" si="11"/>
        <v>4680550.3383295825</v>
      </c>
    </row>
    <row r="71" spans="1:11" x14ac:dyDescent="0.25">
      <c r="A71" s="41" t="s">
        <v>60</v>
      </c>
      <c r="B71" s="219">
        <v>3684.37</v>
      </c>
      <c r="C71" s="236">
        <v>3216.9</v>
      </c>
      <c r="D71" s="369">
        <f t="shared" si="4"/>
        <v>0.87312077777204788</v>
      </c>
      <c r="E71" s="13">
        <v>943.83</v>
      </c>
      <c r="F71" s="8">
        <f t="shared" si="7"/>
        <v>824.07758368459201</v>
      </c>
      <c r="G71" s="7">
        <f t="shared" si="8"/>
        <v>49.944095980884363</v>
      </c>
      <c r="H71" s="8">
        <f t="shared" si="9"/>
        <v>119.75241631540803</v>
      </c>
      <c r="I71" s="7">
        <f t="shared" si="10"/>
        <v>5.5698798286236295</v>
      </c>
      <c r="J71" s="8">
        <f t="shared" si="6"/>
        <v>55.51397580950799</v>
      </c>
      <c r="K71" s="12">
        <f t="shared" si="11"/>
        <v>3552006.4280458721</v>
      </c>
    </row>
    <row r="72" spans="1:11" x14ac:dyDescent="0.25">
      <c r="A72" s="41" t="s">
        <v>61</v>
      </c>
      <c r="B72" s="219">
        <v>665.85</v>
      </c>
      <c r="C72" s="236">
        <v>557.95000000000005</v>
      </c>
      <c r="D72" s="369">
        <f t="shared" si="4"/>
        <v>0.83795149057595564</v>
      </c>
      <c r="E72" s="13">
        <v>197.55</v>
      </c>
      <c r="F72" s="8">
        <f t="shared" si="7"/>
        <v>165.53731696328003</v>
      </c>
      <c r="G72" s="7">
        <f t="shared" si="8"/>
        <v>10.032564664441214</v>
      </c>
      <c r="H72" s="8">
        <f t="shared" si="9"/>
        <v>32.012683036719977</v>
      </c>
      <c r="I72" s="7">
        <f t="shared" si="10"/>
        <v>1.4889620017079059</v>
      </c>
      <c r="J72" s="8">
        <f t="shared" si="6"/>
        <v>11.52152666614912</v>
      </c>
      <c r="K72" s="12">
        <f t="shared" si="11"/>
        <v>737193.40368438128</v>
      </c>
    </row>
    <row r="73" spans="1:11" x14ac:dyDescent="0.25">
      <c r="A73" s="41" t="s">
        <v>62</v>
      </c>
      <c r="B73" s="219">
        <v>5751.42</v>
      </c>
      <c r="C73" s="236">
        <v>4084.96</v>
      </c>
      <c r="D73" s="369">
        <f t="shared" si="4"/>
        <v>0.71025242461861593</v>
      </c>
      <c r="E73" s="13">
        <v>1643.42</v>
      </c>
      <c r="F73" s="8">
        <f t="shared" si="7"/>
        <v>1167.2430396667257</v>
      </c>
      <c r="G73" s="7">
        <f t="shared" si="8"/>
        <v>70.742002404043987</v>
      </c>
      <c r="H73" s="8">
        <f t="shared" si="9"/>
        <v>476.17696033327434</v>
      </c>
      <c r="I73" s="7">
        <f t="shared" si="10"/>
        <v>22.14776559689648</v>
      </c>
      <c r="J73" s="8">
        <f t="shared" si="6"/>
        <v>92.889768000940464</v>
      </c>
      <c r="K73" s="12">
        <f t="shared" si="11"/>
        <v>5943459.2501753392</v>
      </c>
    </row>
    <row r="74" spans="1:11" x14ac:dyDescent="0.25">
      <c r="A74" s="41" t="s">
        <v>63</v>
      </c>
      <c r="B74" s="219">
        <v>10099.5</v>
      </c>
      <c r="C74" s="236">
        <v>6589.44</v>
      </c>
      <c r="D74" s="369">
        <f t="shared" si="4"/>
        <v>0.65245210158918754</v>
      </c>
      <c r="E74" s="13">
        <v>2916.7</v>
      </c>
      <c r="F74" s="8">
        <f t="shared" si="7"/>
        <v>1903.0070447051833</v>
      </c>
      <c r="G74" s="7">
        <f t="shared" si="8"/>
        <v>115.33376028516263</v>
      </c>
      <c r="H74" s="8">
        <f t="shared" si="9"/>
        <v>1013.6929552948166</v>
      </c>
      <c r="I74" s="7">
        <f t="shared" si="10"/>
        <v>47.148509548596117</v>
      </c>
      <c r="J74" s="8">
        <f t="shared" si="6"/>
        <v>162.48226983375875</v>
      </c>
      <c r="K74" s="12">
        <f t="shared" si="11"/>
        <v>10396266.13797939</v>
      </c>
    </row>
    <row r="75" spans="1:11" x14ac:dyDescent="0.25">
      <c r="A75" s="41" t="s">
        <v>64</v>
      </c>
      <c r="B75" s="219">
        <v>2483.25</v>
      </c>
      <c r="C75" s="236">
        <v>2250.21</v>
      </c>
      <c r="D75" s="369">
        <f t="shared" si="4"/>
        <v>0.9061552401087285</v>
      </c>
      <c r="E75" s="13">
        <v>702.3</v>
      </c>
      <c r="F75" s="8">
        <f t="shared" si="7"/>
        <v>636.39282512835996</v>
      </c>
      <c r="G75" s="7">
        <f t="shared" si="8"/>
        <v>38.569262128991511</v>
      </c>
      <c r="H75" s="8">
        <f t="shared" si="9"/>
        <v>65.907174871639995</v>
      </c>
      <c r="I75" s="7">
        <f t="shared" si="10"/>
        <v>3.065449994029767</v>
      </c>
      <c r="J75" s="8">
        <f t="shared" si="6"/>
        <v>41.634712123021281</v>
      </c>
      <c r="K75" s="12">
        <f t="shared" si="11"/>
        <v>2663955.570364357</v>
      </c>
    </row>
    <row r="76" spans="1:11" x14ac:dyDescent="0.25">
      <c r="A76" s="41" t="s">
        <v>65</v>
      </c>
      <c r="B76" s="219">
        <v>3390.2</v>
      </c>
      <c r="C76" s="236">
        <v>2686.84</v>
      </c>
      <c r="D76" s="369">
        <f t="shared" si="4"/>
        <v>0.7925314140758658</v>
      </c>
      <c r="E76" s="13">
        <v>975.98</v>
      </c>
      <c r="F76" s="8">
        <f t="shared" si="7"/>
        <v>773.49480950976351</v>
      </c>
      <c r="G76" s="7">
        <f t="shared" si="8"/>
        <v>46.87847330362203</v>
      </c>
      <c r="H76" s="8">
        <f t="shared" si="9"/>
        <v>202.4851904902365</v>
      </c>
      <c r="I76" s="7">
        <f t="shared" si="10"/>
        <v>9.4179158367551867</v>
      </c>
      <c r="J76" s="8">
        <f t="shared" si="6"/>
        <v>56.296389140377215</v>
      </c>
      <c r="K76" s="12">
        <f t="shared" si="11"/>
        <v>3602068.3654248966</v>
      </c>
    </row>
    <row r="77" spans="1:11" x14ac:dyDescent="0.25">
      <c r="A77" s="41" t="s">
        <v>66</v>
      </c>
      <c r="B77" s="219">
        <v>6118.74</v>
      </c>
      <c r="C77" s="236">
        <v>5379.45</v>
      </c>
      <c r="D77" s="369">
        <f t="shared" si="4"/>
        <v>0.87917610488433895</v>
      </c>
      <c r="E77" s="13">
        <v>1695.92</v>
      </c>
      <c r="F77" s="8">
        <f t="shared" si="7"/>
        <v>1491.0123397954483</v>
      </c>
      <c r="G77" s="7">
        <f t="shared" si="8"/>
        <v>90.36438423002717</v>
      </c>
      <c r="H77" s="8">
        <f t="shared" si="9"/>
        <v>204.9076602045518</v>
      </c>
      <c r="I77" s="7">
        <f t="shared" si="10"/>
        <v>9.5305888467233402</v>
      </c>
      <c r="J77" s="8">
        <f t="shared" si="6"/>
        <v>99.894973076750517</v>
      </c>
      <c r="K77" s="12">
        <f t="shared" si="11"/>
        <v>6391680.3169647083</v>
      </c>
    </row>
    <row r="78" spans="1:11" x14ac:dyDescent="0.25">
      <c r="A78" s="41" t="s">
        <v>67</v>
      </c>
      <c r="B78" s="219">
        <v>15618.17</v>
      </c>
      <c r="C78" s="236">
        <v>9318.2800000000007</v>
      </c>
      <c r="D78" s="369">
        <f t="shared" si="4"/>
        <v>0.59663071921998545</v>
      </c>
      <c r="E78" s="13">
        <v>4686.25</v>
      </c>
      <c r="F78" s="8">
        <f t="shared" si="7"/>
        <v>2795.9607079446569</v>
      </c>
      <c r="G78" s="7">
        <f t="shared" si="8"/>
        <v>169.45216411785799</v>
      </c>
      <c r="H78" s="8">
        <f t="shared" si="9"/>
        <v>1890.2892920553431</v>
      </c>
      <c r="I78" s="7">
        <f t="shared" si="10"/>
        <v>87.920432188620609</v>
      </c>
      <c r="J78" s="8">
        <f t="shared" si="6"/>
        <v>257.37259630647861</v>
      </c>
      <c r="K78" s="12">
        <f t="shared" si="11"/>
        <v>16467729.128615074</v>
      </c>
    </row>
    <row r="79" spans="1:11" x14ac:dyDescent="0.25">
      <c r="A79" s="41" t="s">
        <v>68</v>
      </c>
      <c r="B79" s="219">
        <v>22502.1</v>
      </c>
      <c r="C79" s="236">
        <v>17146.64</v>
      </c>
      <c r="D79" s="369">
        <f t="shared" si="4"/>
        <v>0.76200176872380798</v>
      </c>
      <c r="E79" s="13">
        <v>6090.0700000000006</v>
      </c>
      <c r="F79" s="8">
        <f t="shared" ref="F79:F95" si="12">E79*D79</f>
        <v>4640.6441116518017</v>
      </c>
      <c r="G79" s="7">
        <f t="shared" ref="G79:G95" si="13">(F79/$F$4)</f>
        <v>281.25115828192736</v>
      </c>
      <c r="H79" s="8">
        <f t="shared" ref="H79:H95" si="14">E79-F79</f>
        <v>1449.4258883481989</v>
      </c>
      <c r="I79" s="7">
        <f t="shared" ref="I79:I95" si="15">(H79/$F$5)</f>
        <v>67.41515759759065</v>
      </c>
      <c r="J79" s="8">
        <f t="shared" si="6"/>
        <v>348.66631587951804</v>
      </c>
      <c r="K79" s="12">
        <f t="shared" ref="K79:K95" si="16">J79*$B$7</f>
        <v>22309066.81043382</v>
      </c>
    </row>
    <row r="80" spans="1:11" x14ac:dyDescent="0.25">
      <c r="A80" s="41" t="s">
        <v>69</v>
      </c>
      <c r="B80" s="219">
        <v>27586.57</v>
      </c>
      <c r="C80" s="236">
        <v>15039.74</v>
      </c>
      <c r="D80" s="369">
        <f t="shared" ref="D80:D95" si="17">C80/B80</f>
        <v>0.54518339902351032</v>
      </c>
      <c r="E80" s="13">
        <v>8520.31</v>
      </c>
      <c r="F80" s="8">
        <f t="shared" si="12"/>
        <v>4645.1315665340053</v>
      </c>
      <c r="G80" s="7">
        <f t="shared" si="13"/>
        <v>281.52312524448519</v>
      </c>
      <c r="H80" s="8">
        <f t="shared" si="14"/>
        <v>3875.1784334659942</v>
      </c>
      <c r="I80" s="7">
        <f t="shared" si="15"/>
        <v>180.24085737051135</v>
      </c>
      <c r="J80" s="8">
        <f t="shared" ref="J80:J95" si="18">G80+I80</f>
        <v>461.76398261499651</v>
      </c>
      <c r="K80" s="12">
        <f t="shared" si="16"/>
        <v>29545508.325988274</v>
      </c>
    </row>
    <row r="81" spans="1:12" x14ac:dyDescent="0.25">
      <c r="A81" s="41" t="s">
        <v>70</v>
      </c>
      <c r="B81" s="219">
        <v>2197.3200000000002</v>
      </c>
      <c r="C81" s="236">
        <v>1682.59</v>
      </c>
      <c r="D81" s="369">
        <f t="shared" si="17"/>
        <v>0.76574645477217695</v>
      </c>
      <c r="E81" s="13">
        <v>576.17999999999995</v>
      </c>
      <c r="F81" s="8">
        <f t="shared" si="12"/>
        <v>441.2077923106329</v>
      </c>
      <c r="G81" s="7">
        <f t="shared" si="13"/>
        <v>26.739866200644418</v>
      </c>
      <c r="H81" s="8">
        <f t="shared" si="14"/>
        <v>134.97220768936705</v>
      </c>
      <c r="I81" s="7">
        <f t="shared" si="15"/>
        <v>6.2777771018310258</v>
      </c>
      <c r="J81" s="8">
        <f t="shared" si="18"/>
        <v>33.017643302475442</v>
      </c>
      <c r="K81" s="12">
        <f t="shared" si="16"/>
        <v>2112601.0079291044</v>
      </c>
    </row>
    <row r="82" spans="1:12" x14ac:dyDescent="0.25">
      <c r="A82" s="41" t="s">
        <v>71</v>
      </c>
      <c r="B82" s="219">
        <v>4904.8</v>
      </c>
      <c r="C82" s="236">
        <v>2789.85</v>
      </c>
      <c r="D82" s="369">
        <f t="shared" si="17"/>
        <v>0.56879995106834114</v>
      </c>
      <c r="E82" s="13">
        <v>1512.58</v>
      </c>
      <c r="F82" s="8">
        <f t="shared" si="12"/>
        <v>860.35542998695144</v>
      </c>
      <c r="G82" s="7">
        <f t="shared" si="13"/>
        <v>52.142753332542512</v>
      </c>
      <c r="H82" s="8">
        <f t="shared" si="14"/>
        <v>652.22457001304849</v>
      </c>
      <c r="I82" s="7">
        <f t="shared" si="15"/>
        <v>30.336026512234813</v>
      </c>
      <c r="J82" s="8">
        <f t="shared" si="18"/>
        <v>82.478779844777321</v>
      </c>
      <c r="K82" s="12">
        <f t="shared" si="16"/>
        <v>5277322.5465118391</v>
      </c>
    </row>
    <row r="83" spans="1:12" x14ac:dyDescent="0.25">
      <c r="A83" s="41" t="s">
        <v>72</v>
      </c>
      <c r="B83" s="219">
        <v>9921.15</v>
      </c>
      <c r="C83" s="236">
        <v>5800.34</v>
      </c>
      <c r="D83" s="369">
        <f t="shared" si="17"/>
        <v>0.58464391728781451</v>
      </c>
      <c r="E83" s="13">
        <v>2975.59</v>
      </c>
      <c r="F83" s="8">
        <f t="shared" si="12"/>
        <v>1739.660593842448</v>
      </c>
      <c r="G83" s="7">
        <f t="shared" si="13"/>
        <v>105.43397538439079</v>
      </c>
      <c r="H83" s="8">
        <f t="shared" si="14"/>
        <v>1235.9294061575522</v>
      </c>
      <c r="I83" s="7">
        <f t="shared" si="15"/>
        <v>57.485088658490803</v>
      </c>
      <c r="J83" s="8">
        <f t="shared" si="18"/>
        <v>162.91906404288159</v>
      </c>
      <c r="K83" s="12">
        <f t="shared" si="16"/>
        <v>10424213.980228366</v>
      </c>
    </row>
    <row r="84" spans="1:12" x14ac:dyDescent="0.25">
      <c r="A84" s="41" t="s">
        <v>73</v>
      </c>
      <c r="B84" s="219">
        <v>2737.16</v>
      </c>
      <c r="C84" s="236">
        <v>1943.24</v>
      </c>
      <c r="D84" s="369">
        <f t="shared" si="17"/>
        <v>0.70994753686302592</v>
      </c>
      <c r="E84" s="13">
        <v>861.39</v>
      </c>
      <c r="F84" s="8">
        <f t="shared" si="12"/>
        <v>611.54170877844183</v>
      </c>
      <c r="G84" s="7">
        <f t="shared" si="13"/>
        <v>37.063133865360108</v>
      </c>
      <c r="H84" s="8">
        <f t="shared" si="14"/>
        <v>249.84829122155816</v>
      </c>
      <c r="I84" s="7">
        <f t="shared" si="15"/>
        <v>11.620850754491077</v>
      </c>
      <c r="J84" s="8">
        <f t="shared" si="18"/>
        <v>48.683984619851188</v>
      </c>
      <c r="K84" s="12">
        <f t="shared" si="16"/>
        <v>3114996.2471789028</v>
      </c>
    </row>
    <row r="85" spans="1:12" x14ac:dyDescent="0.25">
      <c r="A85" s="41" t="s">
        <v>74</v>
      </c>
      <c r="B85" s="219">
        <v>2669.43</v>
      </c>
      <c r="C85" s="236">
        <v>1792.49</v>
      </c>
      <c r="D85" s="369">
        <f t="shared" si="17"/>
        <v>0.6714879206422345</v>
      </c>
      <c r="E85" s="13">
        <v>755.47</v>
      </c>
      <c r="F85" s="8">
        <f t="shared" si="12"/>
        <v>507.2889794075889</v>
      </c>
      <c r="G85" s="7">
        <f t="shared" si="13"/>
        <v>30.744786630762963</v>
      </c>
      <c r="H85" s="8">
        <f t="shared" si="14"/>
        <v>248.18102059241113</v>
      </c>
      <c r="I85" s="7">
        <f t="shared" si="15"/>
        <v>11.54330328336796</v>
      </c>
      <c r="J85" s="8">
        <f t="shared" si="18"/>
        <v>42.288089914130921</v>
      </c>
      <c r="K85" s="12">
        <f t="shared" si="16"/>
        <v>2705761.2973028766</v>
      </c>
    </row>
    <row r="86" spans="1:12" x14ac:dyDescent="0.25">
      <c r="A86" s="41" t="s">
        <v>75</v>
      </c>
      <c r="B86" s="219">
        <v>8533.4500000000007</v>
      </c>
      <c r="C86" s="236">
        <v>4605.55</v>
      </c>
      <c r="D86" s="369">
        <f t="shared" si="17"/>
        <v>0.5397055118387053</v>
      </c>
      <c r="E86" s="13">
        <v>2442.06</v>
      </c>
      <c r="F86" s="8">
        <f t="shared" si="12"/>
        <v>1317.9932422408285</v>
      </c>
      <c r="G86" s="7">
        <f t="shared" si="13"/>
        <v>79.878378317625973</v>
      </c>
      <c r="H86" s="8">
        <f t="shared" si="14"/>
        <v>1124.0667577591714</v>
      </c>
      <c r="I86" s="7">
        <f t="shared" si="15"/>
        <v>52.282174779496344</v>
      </c>
      <c r="J86" s="8">
        <f t="shared" si="18"/>
        <v>132.16055309712232</v>
      </c>
      <c r="K86" s="12">
        <f t="shared" si="16"/>
        <v>8456161.3051442653</v>
      </c>
    </row>
    <row r="87" spans="1:12" x14ac:dyDescent="0.25">
      <c r="A87" s="41" t="s">
        <v>76</v>
      </c>
      <c r="B87" s="219">
        <v>10966.62</v>
      </c>
      <c r="C87" s="236">
        <v>7289.33</v>
      </c>
      <c r="D87" s="369">
        <f t="shared" si="17"/>
        <v>0.6646833755523579</v>
      </c>
      <c r="E87" s="13">
        <v>3374.18</v>
      </c>
      <c r="F87" s="8">
        <f t="shared" si="12"/>
        <v>2242.7613521212547</v>
      </c>
      <c r="G87" s="7">
        <f t="shared" si="13"/>
        <v>135.92493043159121</v>
      </c>
      <c r="H87" s="8">
        <f t="shared" si="14"/>
        <v>1131.4186478787451</v>
      </c>
      <c r="I87" s="7">
        <f t="shared" si="15"/>
        <v>52.624123157150933</v>
      </c>
      <c r="J87" s="8">
        <f t="shared" si="18"/>
        <v>188.54905358874214</v>
      </c>
      <c r="K87" s="12">
        <f t="shared" si="16"/>
        <v>12064123.32359867</v>
      </c>
    </row>
    <row r="88" spans="1:12" x14ac:dyDescent="0.25">
      <c r="A88" s="41" t="s">
        <v>77</v>
      </c>
      <c r="B88" s="219">
        <v>7107.44</v>
      </c>
      <c r="C88" s="236">
        <v>5120.8100000000004</v>
      </c>
      <c r="D88" s="369">
        <f t="shared" si="17"/>
        <v>0.72048585707371438</v>
      </c>
      <c r="E88" s="13">
        <v>1975.28</v>
      </c>
      <c r="F88" s="8">
        <f t="shared" si="12"/>
        <v>1423.1613037605666</v>
      </c>
      <c r="G88" s="7">
        <f t="shared" si="13"/>
        <v>86.252200227913136</v>
      </c>
      <c r="H88" s="8">
        <f t="shared" si="14"/>
        <v>552.11869623943335</v>
      </c>
      <c r="I88" s="7">
        <f t="shared" si="15"/>
        <v>25.679939359973645</v>
      </c>
      <c r="J88" s="8">
        <f t="shared" si="18"/>
        <v>111.93213958788678</v>
      </c>
      <c r="K88" s="12">
        <f t="shared" si="16"/>
        <v>7161866.4223470502</v>
      </c>
    </row>
    <row r="89" spans="1:12" x14ac:dyDescent="0.25">
      <c r="A89" s="41" t="s">
        <v>78</v>
      </c>
      <c r="B89" s="219">
        <v>15888.61</v>
      </c>
      <c r="C89" s="236">
        <v>11802.21</v>
      </c>
      <c r="D89" s="369">
        <f t="shared" si="17"/>
        <v>0.74280947169072675</v>
      </c>
      <c r="E89" s="13">
        <v>4400.7300000000005</v>
      </c>
      <c r="F89" s="8">
        <f t="shared" si="12"/>
        <v>3268.9039263535324</v>
      </c>
      <c r="G89" s="7">
        <f t="shared" si="13"/>
        <v>198.11538947597165</v>
      </c>
      <c r="H89" s="8">
        <f t="shared" si="14"/>
        <v>1131.8260736464681</v>
      </c>
      <c r="I89" s="7">
        <f t="shared" si="15"/>
        <v>52.643073192858985</v>
      </c>
      <c r="J89" s="8">
        <f t="shared" si="18"/>
        <v>250.75846266883065</v>
      </c>
      <c r="K89" s="12">
        <f t="shared" si="16"/>
        <v>16044530.378132924</v>
      </c>
    </row>
    <row r="90" spans="1:12" x14ac:dyDescent="0.25">
      <c r="A90" s="41" t="s">
        <v>79</v>
      </c>
      <c r="B90" s="219">
        <v>3787.02</v>
      </c>
      <c r="C90" s="236">
        <v>2926.7</v>
      </c>
      <c r="D90" s="369">
        <f t="shared" si="17"/>
        <v>0.7728240146606038</v>
      </c>
      <c r="E90" s="13">
        <v>1056.8399999999999</v>
      </c>
      <c r="F90" s="8">
        <f t="shared" si="12"/>
        <v>816.75133165391242</v>
      </c>
      <c r="G90" s="7">
        <f t="shared" si="13"/>
        <v>49.500080706297723</v>
      </c>
      <c r="H90" s="8">
        <f t="shared" si="14"/>
        <v>240.0886683460875</v>
      </c>
      <c r="I90" s="7">
        <f t="shared" si="15"/>
        <v>11.166914806794768</v>
      </c>
      <c r="J90" s="8">
        <f t="shared" si="18"/>
        <v>60.666995513092488</v>
      </c>
      <c r="K90" s="12">
        <f t="shared" si="16"/>
        <v>3881717.2593108932</v>
      </c>
    </row>
    <row r="91" spans="1:12" x14ac:dyDescent="0.25">
      <c r="A91" s="41" t="s">
        <v>80</v>
      </c>
      <c r="B91" s="219">
        <v>3426.1</v>
      </c>
      <c r="C91" s="236">
        <v>3131.81</v>
      </c>
      <c r="D91" s="369">
        <f t="shared" si="17"/>
        <v>0.91410349960596593</v>
      </c>
      <c r="E91" s="13">
        <v>1097.51</v>
      </c>
      <c r="F91" s="8">
        <f t="shared" si="12"/>
        <v>1003.2377318525437</v>
      </c>
      <c r="G91" s="7">
        <f t="shared" si="13"/>
        <v>60.80228677894204</v>
      </c>
      <c r="H91" s="8">
        <f t="shared" si="14"/>
        <v>94.272268147456316</v>
      </c>
      <c r="I91" s="7">
        <f t="shared" si="15"/>
        <v>4.3847566580212236</v>
      </c>
      <c r="J91" s="8">
        <f t="shared" si="18"/>
        <v>65.187043436963265</v>
      </c>
      <c r="K91" s="12">
        <f t="shared" si="16"/>
        <v>4170928.0219440139</v>
      </c>
    </row>
    <row r="92" spans="1:12" x14ac:dyDescent="0.25">
      <c r="A92" s="41" t="s">
        <v>81</v>
      </c>
      <c r="B92" s="219">
        <v>4956.4399999999996</v>
      </c>
      <c r="C92" s="236">
        <v>3366.99</v>
      </c>
      <c r="D92" s="369">
        <f t="shared" si="17"/>
        <v>0.67931620275843152</v>
      </c>
      <c r="E92" s="13">
        <v>1473.8899999999999</v>
      </c>
      <c r="F92" s="8">
        <f t="shared" si="12"/>
        <v>1001.2373580836246</v>
      </c>
      <c r="G92" s="7">
        <f t="shared" si="13"/>
        <v>60.68105200506816</v>
      </c>
      <c r="H92" s="8">
        <f t="shared" si="14"/>
        <v>472.65264191637527</v>
      </c>
      <c r="I92" s="7">
        <f t="shared" si="15"/>
        <v>21.983843810063966</v>
      </c>
      <c r="J92" s="8">
        <f t="shared" si="18"/>
        <v>82.664895815132127</v>
      </c>
      <c r="K92" s="12">
        <f t="shared" si="16"/>
        <v>5289230.9914290383</v>
      </c>
    </row>
    <row r="93" spans="1:12" x14ac:dyDescent="0.25">
      <c r="A93" s="41" t="s">
        <v>82</v>
      </c>
      <c r="B93" s="219">
        <v>7694.47</v>
      </c>
      <c r="C93" s="236">
        <v>2768.93</v>
      </c>
      <c r="D93" s="369">
        <f t="shared" si="17"/>
        <v>0.35985974342612287</v>
      </c>
      <c r="E93" s="13">
        <v>2341.08</v>
      </c>
      <c r="F93" s="8">
        <f t="shared" si="12"/>
        <v>842.46044814002767</v>
      </c>
      <c r="G93" s="7">
        <f t="shared" si="13"/>
        <v>51.058208978183494</v>
      </c>
      <c r="H93" s="8">
        <f t="shared" si="14"/>
        <v>1498.6195518599723</v>
      </c>
      <c r="I93" s="7">
        <f t="shared" si="15"/>
        <v>69.703234970231264</v>
      </c>
      <c r="J93" s="8">
        <f t="shared" si="18"/>
        <v>120.76144394841475</v>
      </c>
      <c r="K93" s="12">
        <f t="shared" si="16"/>
        <v>7726800.6643365668</v>
      </c>
    </row>
    <row r="94" spans="1:12" x14ac:dyDescent="0.25">
      <c r="A94" s="41" t="s">
        <v>83</v>
      </c>
      <c r="B94" s="219">
        <v>17132.009999999998</v>
      </c>
      <c r="C94" s="236">
        <v>10493.05</v>
      </c>
      <c r="D94" s="369">
        <f t="shared" si="17"/>
        <v>0.61248213140197794</v>
      </c>
      <c r="E94" s="13">
        <v>5234.7800000000007</v>
      </c>
      <c r="F94" s="8">
        <f t="shared" si="12"/>
        <v>3206.2092118204464</v>
      </c>
      <c r="G94" s="7">
        <f t="shared" si="13"/>
        <v>194.31570980729978</v>
      </c>
      <c r="H94" s="8">
        <f t="shared" si="14"/>
        <v>2028.5707881795543</v>
      </c>
      <c r="I94" s="7">
        <f t="shared" si="15"/>
        <v>94.35212968276997</v>
      </c>
      <c r="J94" s="8">
        <f t="shared" si="18"/>
        <v>288.66783949006975</v>
      </c>
      <c r="K94" s="12">
        <f t="shared" si="16"/>
        <v>18470124.081136845</v>
      </c>
    </row>
    <row r="95" spans="1:12" x14ac:dyDescent="0.25">
      <c r="A95" s="41" t="s">
        <v>84</v>
      </c>
      <c r="B95" s="219">
        <v>15937.31</v>
      </c>
      <c r="C95" s="236">
        <v>3335.44</v>
      </c>
      <c r="D95" s="369">
        <f t="shared" si="17"/>
        <v>0.2092850048094691</v>
      </c>
      <c r="E95" s="13">
        <v>4522.24</v>
      </c>
      <c r="F95" s="8">
        <f t="shared" si="12"/>
        <v>946.43702014957353</v>
      </c>
      <c r="G95" s="7">
        <f t="shared" si="13"/>
        <v>57.359819403004458</v>
      </c>
      <c r="H95" s="8">
        <f t="shared" si="14"/>
        <v>3575.8029798504263</v>
      </c>
      <c r="I95" s="7">
        <f t="shared" si="15"/>
        <v>166.31641766746168</v>
      </c>
      <c r="J95" s="8">
        <f t="shared" si="18"/>
        <v>223.67623707046613</v>
      </c>
      <c r="K95" s="12">
        <f t="shared" si="16"/>
        <v>14311701.157951158</v>
      </c>
    </row>
    <row r="96" spans="1:12" s="241" customFormat="1" ht="15.75" thickBot="1" x14ac:dyDescent="0.3">
      <c r="A96" s="687" t="s">
        <v>312</v>
      </c>
      <c r="B96" s="223">
        <v>721122.25</v>
      </c>
      <c r="C96" s="238">
        <v>446194.4</v>
      </c>
      <c r="D96" s="370">
        <f>C96/B96</f>
        <v>0.61875001083380798</v>
      </c>
      <c r="E96" s="16">
        <f>SUM(E15:E95)</f>
        <v>208356.41999999993</v>
      </c>
      <c r="F96" s="18">
        <f t="shared" ref="F96:K96" si="19">SUM(F15:F95)</f>
        <v>128658.26859948831</v>
      </c>
      <c r="G96" s="19">
        <f t="shared" si="19"/>
        <v>7797.470824211412</v>
      </c>
      <c r="H96" s="18">
        <f t="shared" si="19"/>
        <v>79698.151400511677</v>
      </c>
      <c r="I96" s="20">
        <f t="shared" si="19"/>
        <v>3706.8907628144966</v>
      </c>
      <c r="J96" s="18">
        <f t="shared" si="19"/>
        <v>11504.361587025918</v>
      </c>
      <c r="K96" s="21">
        <f t="shared" si="19"/>
        <v>736095113.1999675</v>
      </c>
      <c r="L96" s="1"/>
    </row>
  </sheetData>
  <mergeCells count="19">
    <mergeCell ref="D3:F3"/>
    <mergeCell ref="D4:E4"/>
    <mergeCell ref="D5:E5"/>
    <mergeCell ref="K12:K13"/>
    <mergeCell ref="B11:E11"/>
    <mergeCell ref="F11:G11"/>
    <mergeCell ref="H11:I11"/>
    <mergeCell ref="F12:F13"/>
    <mergeCell ref="G12:G13"/>
    <mergeCell ref="H12:H13"/>
    <mergeCell ref="I12:I13"/>
    <mergeCell ref="J12:J13"/>
    <mergeCell ref="J11:K11"/>
    <mergeCell ref="B10:K10"/>
    <mergeCell ref="A12:A13"/>
    <mergeCell ref="B12:B13"/>
    <mergeCell ref="C12:C13"/>
    <mergeCell ref="D12:D13"/>
    <mergeCell ref="E12:E13"/>
  </mergeCells>
  <conditionalFormatting sqref="O97:O1048576">
    <cfRule type="cellIs" dxfId="6" priority="5" operator="lessThan">
      <formula>0</formula>
    </cfRule>
  </conditionalFormatting>
  <conditionalFormatting sqref="K12">
    <cfRule type="cellIs" dxfId="5" priority="1" operator="lessThan">
      <formula>0</formula>
    </cfRule>
  </conditionalFormatting>
  <printOptions horizontalCentered="1"/>
  <pageMargins left="0.5" right="0.5" top="0.5" bottom="0.5" header="0.3" footer="0.3"/>
  <pageSetup scale="69" fitToHeight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L100"/>
  <sheetViews>
    <sheetView zoomScaleNormal="100" workbookViewId="0">
      <selection activeCell="E5" sqref="E5"/>
    </sheetView>
  </sheetViews>
  <sheetFormatPr defaultRowHeight="15" x14ac:dyDescent="0.25"/>
  <cols>
    <col min="1" max="1" width="20.42578125" style="1" customWidth="1"/>
    <col min="2" max="2" width="12.42578125" style="1" customWidth="1"/>
    <col min="3" max="3" width="10.42578125" style="230" customWidth="1"/>
    <col min="4" max="4" width="9.85546875" style="1" bestFit="1" customWidth="1"/>
    <col min="5" max="5" width="12.28515625" style="230" customWidth="1"/>
    <col min="6" max="6" width="14.85546875" style="1" customWidth="1"/>
    <col min="7" max="7" width="13.140625" style="1" customWidth="1"/>
    <col min="8" max="8" width="12" style="85" customWidth="1"/>
    <col min="9" max="9" width="12.140625" style="1" customWidth="1"/>
    <col min="10" max="10" width="13" style="1" customWidth="1"/>
    <col min="11" max="11" width="13.140625" style="1" customWidth="1"/>
    <col min="12" max="12" width="15.28515625" style="1" bestFit="1" customWidth="1"/>
    <col min="13" max="13" width="12.42578125" style="1" customWidth="1"/>
    <col min="14" max="14" width="12.7109375" style="1" bestFit="1" customWidth="1"/>
    <col min="15" max="15" width="13.85546875" style="1" bestFit="1" customWidth="1"/>
    <col min="16" max="16" width="12.7109375" style="1" bestFit="1" customWidth="1"/>
    <col min="17" max="17" width="9.7109375" style="1" bestFit="1" customWidth="1"/>
    <col min="18" max="18" width="7" style="1" bestFit="1" customWidth="1"/>
    <col min="19" max="16384" width="9.140625" style="1"/>
  </cols>
  <sheetData>
    <row r="1" spans="1:11" ht="23.25" x14ac:dyDescent="0.35">
      <c r="A1" s="229" t="s">
        <v>628</v>
      </c>
    </row>
    <row r="2" spans="1:11" ht="15.75" customHeight="1" thickBot="1" x14ac:dyDescent="0.4">
      <c r="A2" s="229"/>
      <c r="B2" s="592"/>
      <c r="C2" s="647"/>
      <c r="D2" s="592"/>
      <c r="E2" s="647"/>
      <c r="F2" s="592"/>
      <c r="G2" s="592"/>
      <c r="H2" s="667"/>
    </row>
    <row r="3" spans="1:11" ht="15.75" thickBot="1" x14ac:dyDescent="0.3">
      <c r="A3" s="640" t="s">
        <v>94</v>
      </c>
      <c r="B3" s="352"/>
      <c r="C3" s="353"/>
      <c r="D3" s="35"/>
      <c r="E3" s="867" t="s">
        <v>104</v>
      </c>
      <c r="F3" s="868"/>
      <c r="G3" s="868"/>
      <c r="H3" s="869"/>
    </row>
    <row r="4" spans="1:11" ht="26.25" thickBot="1" x14ac:dyDescent="0.3">
      <c r="A4" s="354" t="s">
        <v>163</v>
      </c>
      <c r="B4" s="37">
        <f>Amounts!B4</f>
        <v>44586</v>
      </c>
      <c r="C4" s="353"/>
      <c r="D4" s="35"/>
      <c r="E4" s="870" t="s">
        <v>565</v>
      </c>
      <c r="F4" s="871"/>
      <c r="G4" s="871"/>
      <c r="H4" s="656">
        <f>Amounts!E21</f>
        <v>17.5</v>
      </c>
    </row>
    <row r="5" spans="1:11" ht="15.75" thickBot="1" x14ac:dyDescent="0.3">
      <c r="A5" s="354" t="s">
        <v>138</v>
      </c>
      <c r="B5" s="37">
        <f>B4*C9</f>
        <v>12600.0036</v>
      </c>
      <c r="C5" s="353"/>
      <c r="D5" s="353"/>
      <c r="E5" s="353"/>
      <c r="F5" s="657"/>
      <c r="G5" s="353"/>
      <c r="H5" s="353"/>
    </row>
    <row r="6" spans="1:11" ht="15.75" customHeight="1" thickBot="1" x14ac:dyDescent="0.3">
      <c r="A6" s="355" t="s">
        <v>98</v>
      </c>
      <c r="B6" s="37">
        <f>Amounts!B6</f>
        <v>6798</v>
      </c>
      <c r="C6" s="353"/>
      <c r="D6" s="353"/>
      <c r="E6" s="862" t="s">
        <v>568</v>
      </c>
      <c r="F6" s="863"/>
      <c r="G6" s="863"/>
      <c r="H6" s="864"/>
    </row>
    <row r="7" spans="1:11" ht="15.75" thickBot="1" x14ac:dyDescent="0.3">
      <c r="A7" s="644" t="s">
        <v>96</v>
      </c>
      <c r="B7" s="645">
        <f>SUM(B4:B6)</f>
        <v>63984.003599999996</v>
      </c>
      <c r="C7" s="353"/>
      <c r="D7" s="353"/>
      <c r="E7" s="872" t="s">
        <v>566</v>
      </c>
      <c r="F7" s="873"/>
      <c r="G7" s="873"/>
      <c r="H7" s="275">
        <f>Amounts!E22</f>
        <v>120</v>
      </c>
    </row>
    <row r="8" spans="1:11" ht="15.75" customHeight="1" x14ac:dyDescent="0.25">
      <c r="A8" s="353"/>
      <c r="B8" s="353"/>
      <c r="C8" s="353"/>
      <c r="D8" s="353"/>
      <c r="E8" s="653"/>
      <c r="F8" s="353"/>
      <c r="G8" s="353"/>
      <c r="H8" s="657"/>
    </row>
    <row r="9" spans="1:11" ht="15.75" customHeight="1" thickBot="1" x14ac:dyDescent="0.3">
      <c r="A9" s="648" t="s">
        <v>137</v>
      </c>
      <c r="B9" s="649"/>
      <c r="C9" s="231">
        <f>Amounts!B9</f>
        <v>0.28260000000000002</v>
      </c>
      <c r="D9" s="353"/>
      <c r="E9" s="653"/>
      <c r="F9" s="353"/>
      <c r="G9" s="353"/>
      <c r="H9" s="657"/>
    </row>
    <row r="10" spans="1:11" ht="15.75" thickBot="1" x14ac:dyDescent="0.3">
      <c r="B10" s="839" t="s">
        <v>810</v>
      </c>
      <c r="C10" s="840"/>
      <c r="D10" s="840"/>
      <c r="E10" s="840"/>
      <c r="F10" s="840"/>
      <c r="G10" s="840"/>
      <c r="H10" s="840"/>
      <c r="I10" s="840"/>
      <c r="J10" s="840"/>
      <c r="K10" s="841"/>
    </row>
    <row r="11" spans="1:11" ht="30" customHeight="1" thickBot="1" x14ac:dyDescent="0.3">
      <c r="B11" s="833" t="s">
        <v>93</v>
      </c>
      <c r="C11" s="834"/>
      <c r="D11" s="835"/>
      <c r="E11" s="865" t="s">
        <v>564</v>
      </c>
      <c r="F11" s="866"/>
      <c r="G11" s="865" t="s">
        <v>566</v>
      </c>
      <c r="H11" s="874"/>
      <c r="I11" s="833" t="s">
        <v>89</v>
      </c>
      <c r="J11" s="834"/>
      <c r="K11" s="835"/>
    </row>
    <row r="12" spans="1:11" ht="15" customHeight="1" x14ac:dyDescent="0.25">
      <c r="A12" s="848" t="s">
        <v>0</v>
      </c>
      <c r="B12" s="844" t="s">
        <v>86</v>
      </c>
      <c r="C12" s="846" t="s">
        <v>85</v>
      </c>
      <c r="D12" s="846" t="s">
        <v>92</v>
      </c>
      <c r="E12" s="844" t="s">
        <v>88</v>
      </c>
      <c r="F12" s="829" t="s">
        <v>3</v>
      </c>
      <c r="G12" s="844" t="s">
        <v>88</v>
      </c>
      <c r="H12" s="829" t="s">
        <v>567</v>
      </c>
      <c r="I12" s="844" t="s">
        <v>87</v>
      </c>
      <c r="J12" s="844" t="s">
        <v>225</v>
      </c>
      <c r="K12" s="842" t="s">
        <v>105</v>
      </c>
    </row>
    <row r="13" spans="1:11" ht="29.25" customHeight="1" x14ac:dyDescent="0.25">
      <c r="A13" s="849"/>
      <c r="B13" s="845"/>
      <c r="C13" s="847"/>
      <c r="D13" s="847"/>
      <c r="E13" s="845"/>
      <c r="F13" s="830"/>
      <c r="G13" s="845"/>
      <c r="H13" s="830"/>
      <c r="I13" s="845"/>
      <c r="J13" s="845"/>
      <c r="K13" s="843"/>
    </row>
    <row r="14" spans="1:11" s="241" customFormat="1" x14ac:dyDescent="0.25">
      <c r="A14" s="698" t="s">
        <v>715</v>
      </c>
      <c r="B14" s="690" t="s">
        <v>716</v>
      </c>
      <c r="C14" s="689" t="s">
        <v>717</v>
      </c>
      <c r="D14" s="689" t="s">
        <v>718</v>
      </c>
      <c r="E14" s="690" t="s">
        <v>719</v>
      </c>
      <c r="F14" s="702" t="s">
        <v>720</v>
      </c>
      <c r="G14" s="690" t="s">
        <v>721</v>
      </c>
      <c r="H14" s="694" t="s">
        <v>722</v>
      </c>
      <c r="I14" s="690" t="s">
        <v>723</v>
      </c>
      <c r="J14" s="696" t="s">
        <v>724</v>
      </c>
      <c r="K14" s="695" t="s">
        <v>725</v>
      </c>
    </row>
    <row r="15" spans="1:11" x14ac:dyDescent="0.25">
      <c r="A15" s="40" t="s">
        <v>4</v>
      </c>
      <c r="B15" s="232">
        <v>2915.96</v>
      </c>
      <c r="C15" s="233">
        <v>2006.13</v>
      </c>
      <c r="D15" s="94">
        <f>C15/B15</f>
        <v>0.68798268837706966</v>
      </c>
      <c r="E15" s="95">
        <v>366</v>
      </c>
      <c r="F15" s="96">
        <f>(E15/$H$4)</f>
        <v>20.914285714285715</v>
      </c>
      <c r="G15" s="234">
        <f>E15</f>
        <v>366</v>
      </c>
      <c r="H15" s="235">
        <f>G15/$H$7</f>
        <v>3.05</v>
      </c>
      <c r="I15" s="95">
        <f>F15</f>
        <v>20.914285714285715</v>
      </c>
      <c r="J15" s="200">
        <f>H15</f>
        <v>3.05</v>
      </c>
      <c r="K15" s="97">
        <f>(I15+J15)*$B$7</f>
        <v>1533330.9434142858</v>
      </c>
    </row>
    <row r="16" spans="1:11" x14ac:dyDescent="0.25">
      <c r="A16" s="41" t="s">
        <v>5</v>
      </c>
      <c r="B16" s="219">
        <v>23246.81</v>
      </c>
      <c r="C16" s="236">
        <v>15253.01</v>
      </c>
      <c r="D16" s="14">
        <f>C16/B16</f>
        <v>0.65613346519371907</v>
      </c>
      <c r="E16" s="8">
        <v>2956</v>
      </c>
      <c r="F16" s="7">
        <f t="shared" ref="F16:F79" si="0">(E16/$H$4)</f>
        <v>168.91428571428571</v>
      </c>
      <c r="G16" s="237">
        <f t="shared" ref="G16:G79" si="1">E16</f>
        <v>2956</v>
      </c>
      <c r="H16" s="235">
        <f t="shared" ref="H16:H79" si="2">G16/$H$7</f>
        <v>24.633333333333333</v>
      </c>
      <c r="I16" s="95">
        <f t="shared" ref="I16:I79" si="3">F16</f>
        <v>168.91428571428571</v>
      </c>
      <c r="J16" s="200">
        <f t="shared" ref="J16:J79" si="4">H16</f>
        <v>24.633333333333333</v>
      </c>
      <c r="K16" s="12">
        <f t="shared" ref="K16:K46" si="5">(I16+J16)*$B$7</f>
        <v>12383951.553914284</v>
      </c>
    </row>
    <row r="17" spans="1:11" x14ac:dyDescent="0.25">
      <c r="A17" s="41" t="s">
        <v>6</v>
      </c>
      <c r="B17" s="219">
        <v>1028.55</v>
      </c>
      <c r="C17" s="236">
        <v>973.11</v>
      </c>
      <c r="D17" s="14">
        <f t="shared" ref="D17:D79" si="6">C17/B17</f>
        <v>0.94609887705993878</v>
      </c>
      <c r="E17" s="8">
        <v>110</v>
      </c>
      <c r="F17" s="7">
        <f t="shared" si="0"/>
        <v>6.2857142857142856</v>
      </c>
      <c r="G17" s="237">
        <f t="shared" si="1"/>
        <v>110</v>
      </c>
      <c r="H17" s="235">
        <f t="shared" si="2"/>
        <v>0.91666666666666663</v>
      </c>
      <c r="I17" s="95">
        <f t="shared" si="3"/>
        <v>6.2857142857142856</v>
      </c>
      <c r="J17" s="200">
        <f t="shared" si="4"/>
        <v>0.91666666666666663</v>
      </c>
      <c r="K17" s="12">
        <f t="shared" si="5"/>
        <v>460837.16878571425</v>
      </c>
    </row>
    <row r="18" spans="1:11" x14ac:dyDescent="0.25">
      <c r="A18" s="41" t="s">
        <v>7</v>
      </c>
      <c r="B18" s="219">
        <v>9875.19</v>
      </c>
      <c r="C18" s="236">
        <v>4961.09</v>
      </c>
      <c r="D18" s="14">
        <f t="shared" si="6"/>
        <v>0.50237919472941783</v>
      </c>
      <c r="E18" s="8">
        <v>1236</v>
      </c>
      <c r="F18" s="7">
        <f t="shared" si="0"/>
        <v>70.628571428571433</v>
      </c>
      <c r="G18" s="237">
        <f t="shared" si="1"/>
        <v>1236</v>
      </c>
      <c r="H18" s="235">
        <f t="shared" si="2"/>
        <v>10.3</v>
      </c>
      <c r="I18" s="95">
        <f t="shared" si="3"/>
        <v>70.628571428571433</v>
      </c>
      <c r="J18" s="200">
        <f t="shared" si="4"/>
        <v>10.3</v>
      </c>
      <c r="K18" s="12">
        <f t="shared" si="5"/>
        <v>5178134.0056285709</v>
      </c>
    </row>
    <row r="19" spans="1:11" x14ac:dyDescent="0.25">
      <c r="A19" s="41" t="s">
        <v>8</v>
      </c>
      <c r="B19" s="219">
        <v>3618.89</v>
      </c>
      <c r="C19" s="236">
        <v>2306.6999999999998</v>
      </c>
      <c r="D19" s="14">
        <f t="shared" si="6"/>
        <v>0.63740539226116288</v>
      </c>
      <c r="E19" s="8">
        <v>533</v>
      </c>
      <c r="F19" s="7">
        <f t="shared" si="0"/>
        <v>30.457142857142856</v>
      </c>
      <c r="G19" s="237">
        <f t="shared" si="1"/>
        <v>533</v>
      </c>
      <c r="H19" s="235">
        <f t="shared" si="2"/>
        <v>4.4416666666666664</v>
      </c>
      <c r="I19" s="95">
        <f t="shared" si="3"/>
        <v>30.457142857142856</v>
      </c>
      <c r="J19" s="200">
        <f t="shared" si="4"/>
        <v>4.4416666666666664</v>
      </c>
      <c r="K19" s="12">
        <f t="shared" si="5"/>
        <v>2232965.5542071424</v>
      </c>
    </row>
    <row r="20" spans="1:11" x14ac:dyDescent="0.25">
      <c r="A20" s="41" t="s">
        <v>9</v>
      </c>
      <c r="B20" s="219">
        <v>2479.0500000000002</v>
      </c>
      <c r="C20" s="236">
        <v>1811.63</v>
      </c>
      <c r="D20" s="14">
        <f t="shared" si="6"/>
        <v>0.73077590205925658</v>
      </c>
      <c r="E20" s="8">
        <v>357</v>
      </c>
      <c r="F20" s="7">
        <f t="shared" si="0"/>
        <v>20.399999999999999</v>
      </c>
      <c r="G20" s="237">
        <f t="shared" si="1"/>
        <v>357</v>
      </c>
      <c r="H20" s="235">
        <f t="shared" si="2"/>
        <v>2.9750000000000001</v>
      </c>
      <c r="I20" s="95">
        <f t="shared" si="3"/>
        <v>20.399999999999999</v>
      </c>
      <c r="J20" s="200">
        <f t="shared" si="4"/>
        <v>2.9750000000000001</v>
      </c>
      <c r="K20" s="12">
        <f t="shared" si="5"/>
        <v>1495626.08415</v>
      </c>
    </row>
    <row r="21" spans="1:11" x14ac:dyDescent="0.25">
      <c r="A21" s="41" t="s">
        <v>10</v>
      </c>
      <c r="B21" s="219">
        <v>2744.29</v>
      </c>
      <c r="C21" s="236">
        <v>1684.95</v>
      </c>
      <c r="D21" s="14">
        <f t="shared" si="6"/>
        <v>0.61398394484547913</v>
      </c>
      <c r="E21" s="8">
        <v>400</v>
      </c>
      <c r="F21" s="7">
        <f t="shared" si="0"/>
        <v>22.857142857142858</v>
      </c>
      <c r="G21" s="237">
        <f t="shared" si="1"/>
        <v>400</v>
      </c>
      <c r="H21" s="235">
        <f t="shared" si="2"/>
        <v>3.3333333333333335</v>
      </c>
      <c r="I21" s="95">
        <f t="shared" si="3"/>
        <v>22.857142857142858</v>
      </c>
      <c r="J21" s="200">
        <f t="shared" si="4"/>
        <v>3.3333333333333335</v>
      </c>
      <c r="K21" s="12">
        <f t="shared" si="5"/>
        <v>1675771.5228571426</v>
      </c>
    </row>
    <row r="22" spans="1:11" x14ac:dyDescent="0.25">
      <c r="A22" s="41" t="s">
        <v>11</v>
      </c>
      <c r="B22" s="219">
        <v>12671.61</v>
      </c>
      <c r="C22" s="236">
        <v>8210.69</v>
      </c>
      <c r="D22" s="14">
        <f t="shared" si="6"/>
        <v>0.64795949370285233</v>
      </c>
      <c r="E22" s="8">
        <v>1663</v>
      </c>
      <c r="F22" s="7">
        <f t="shared" si="0"/>
        <v>95.028571428571425</v>
      </c>
      <c r="G22" s="237">
        <f t="shared" si="1"/>
        <v>1663</v>
      </c>
      <c r="H22" s="235">
        <f t="shared" si="2"/>
        <v>13.858333333333333</v>
      </c>
      <c r="I22" s="95">
        <f t="shared" si="3"/>
        <v>95.028571428571425</v>
      </c>
      <c r="J22" s="200">
        <f t="shared" si="4"/>
        <v>13.858333333333333</v>
      </c>
      <c r="K22" s="12">
        <f t="shared" si="5"/>
        <v>6967020.1062785713</v>
      </c>
    </row>
    <row r="23" spans="1:11" x14ac:dyDescent="0.25">
      <c r="A23" s="41" t="s">
        <v>12</v>
      </c>
      <c r="B23" s="219">
        <v>1256.76</v>
      </c>
      <c r="C23" s="236">
        <v>988.98</v>
      </c>
      <c r="D23" s="14">
        <f t="shared" si="6"/>
        <v>0.78692829179795665</v>
      </c>
      <c r="E23" s="8">
        <v>162</v>
      </c>
      <c r="F23" s="7">
        <f t="shared" si="0"/>
        <v>9.257142857142858</v>
      </c>
      <c r="G23" s="237">
        <f t="shared" si="1"/>
        <v>162</v>
      </c>
      <c r="H23" s="235">
        <f t="shared" si="2"/>
        <v>1.35</v>
      </c>
      <c r="I23" s="95">
        <f t="shared" si="3"/>
        <v>9.257142857142858</v>
      </c>
      <c r="J23" s="200">
        <f t="shared" si="4"/>
        <v>1.35</v>
      </c>
      <c r="K23" s="12">
        <f t="shared" si="5"/>
        <v>678687.4667571428</v>
      </c>
    </row>
    <row r="24" spans="1:11" x14ac:dyDescent="0.25">
      <c r="A24" s="41" t="s">
        <v>13</v>
      </c>
      <c r="B24" s="219">
        <v>638.25</v>
      </c>
      <c r="C24" s="236">
        <v>596.16999999999996</v>
      </c>
      <c r="D24" s="14">
        <f t="shared" si="6"/>
        <v>0.93406972189580884</v>
      </c>
      <c r="E24" s="8">
        <v>113</v>
      </c>
      <c r="F24" s="7">
        <f t="shared" si="0"/>
        <v>6.4571428571428573</v>
      </c>
      <c r="G24" s="237">
        <f t="shared" si="1"/>
        <v>113</v>
      </c>
      <c r="H24" s="235">
        <f t="shared" si="2"/>
        <v>0.94166666666666665</v>
      </c>
      <c r="I24" s="95">
        <f t="shared" si="3"/>
        <v>6.4571428571428573</v>
      </c>
      <c r="J24" s="200">
        <f t="shared" si="4"/>
        <v>0.94166666666666665</v>
      </c>
      <c r="K24" s="12">
        <f t="shared" si="5"/>
        <v>473405.4552071428</v>
      </c>
    </row>
    <row r="25" spans="1:11" x14ac:dyDescent="0.25">
      <c r="A25" s="41" t="s">
        <v>14</v>
      </c>
      <c r="B25" s="219">
        <v>587.14</v>
      </c>
      <c r="C25" s="236">
        <v>560.97</v>
      </c>
      <c r="D25" s="14">
        <f t="shared" si="6"/>
        <v>0.95542800694893903</v>
      </c>
      <c r="E25" s="8">
        <v>72</v>
      </c>
      <c r="F25" s="7">
        <f t="shared" si="0"/>
        <v>4.1142857142857139</v>
      </c>
      <c r="G25" s="237">
        <f t="shared" si="1"/>
        <v>72</v>
      </c>
      <c r="H25" s="235">
        <f t="shared" si="2"/>
        <v>0.6</v>
      </c>
      <c r="I25" s="95">
        <f t="shared" si="3"/>
        <v>4.1142857142857139</v>
      </c>
      <c r="J25" s="200">
        <f t="shared" si="4"/>
        <v>0.6</v>
      </c>
      <c r="K25" s="12">
        <f t="shared" si="5"/>
        <v>301638.87411428563</v>
      </c>
    </row>
    <row r="26" spans="1:11" x14ac:dyDescent="0.25">
      <c r="A26" s="41" t="s">
        <v>15</v>
      </c>
      <c r="B26" s="219">
        <v>822.79</v>
      </c>
      <c r="C26" s="236">
        <v>627.70000000000005</v>
      </c>
      <c r="D26" s="14">
        <f t="shared" si="6"/>
        <v>0.76289211098822307</v>
      </c>
      <c r="E26" s="8">
        <v>100</v>
      </c>
      <c r="F26" s="7">
        <f t="shared" si="0"/>
        <v>5.7142857142857144</v>
      </c>
      <c r="G26" s="237">
        <f t="shared" si="1"/>
        <v>100</v>
      </c>
      <c r="H26" s="235">
        <f t="shared" si="2"/>
        <v>0.83333333333333337</v>
      </c>
      <c r="I26" s="95">
        <f t="shared" si="3"/>
        <v>5.7142857142857144</v>
      </c>
      <c r="J26" s="200">
        <f t="shared" si="4"/>
        <v>0.83333333333333337</v>
      </c>
      <c r="K26" s="12">
        <f t="shared" si="5"/>
        <v>418942.88071428565</v>
      </c>
    </row>
    <row r="27" spans="1:11" x14ac:dyDescent="0.25">
      <c r="A27" s="41" t="s">
        <v>16</v>
      </c>
      <c r="B27" s="219">
        <v>2117.3200000000002</v>
      </c>
      <c r="C27" s="236">
        <v>1622.36</v>
      </c>
      <c r="D27" s="14">
        <f t="shared" si="6"/>
        <v>0.76623278484121427</v>
      </c>
      <c r="E27" s="8">
        <v>319</v>
      </c>
      <c r="F27" s="7">
        <f t="shared" si="0"/>
        <v>18.228571428571428</v>
      </c>
      <c r="G27" s="237">
        <f t="shared" si="1"/>
        <v>319</v>
      </c>
      <c r="H27" s="235">
        <f t="shared" si="2"/>
        <v>2.6583333333333332</v>
      </c>
      <c r="I27" s="95">
        <f t="shared" si="3"/>
        <v>18.228571428571428</v>
      </c>
      <c r="J27" s="200">
        <f t="shared" si="4"/>
        <v>2.6583333333333332</v>
      </c>
      <c r="K27" s="12">
        <f t="shared" si="5"/>
        <v>1336427.7894785712</v>
      </c>
    </row>
    <row r="28" spans="1:11" x14ac:dyDescent="0.25">
      <c r="A28" s="41" t="s">
        <v>17</v>
      </c>
      <c r="B28" s="219">
        <v>21287.25</v>
      </c>
      <c r="C28" s="236">
        <v>12285.96</v>
      </c>
      <c r="D28" s="14">
        <f t="shared" si="6"/>
        <v>0.57715111158087584</v>
      </c>
      <c r="E28" s="8">
        <v>1963</v>
      </c>
      <c r="F28" s="7">
        <f t="shared" si="0"/>
        <v>112.17142857142858</v>
      </c>
      <c r="G28" s="237">
        <f t="shared" si="1"/>
        <v>1963</v>
      </c>
      <c r="H28" s="235">
        <f t="shared" si="2"/>
        <v>16.358333333333334</v>
      </c>
      <c r="I28" s="95">
        <f t="shared" si="3"/>
        <v>112.17142857142858</v>
      </c>
      <c r="J28" s="200">
        <f t="shared" si="4"/>
        <v>16.358333333333334</v>
      </c>
      <c r="K28" s="12">
        <f t="shared" si="5"/>
        <v>8223848.7484214297</v>
      </c>
    </row>
    <row r="29" spans="1:11" x14ac:dyDescent="0.25">
      <c r="A29" s="41" t="s">
        <v>18</v>
      </c>
      <c r="B29" s="219">
        <v>34520.18</v>
      </c>
      <c r="C29" s="236">
        <v>19753.580000000002</v>
      </c>
      <c r="D29" s="14">
        <f t="shared" si="6"/>
        <v>0.57223282149745458</v>
      </c>
      <c r="E29" s="8">
        <v>3972</v>
      </c>
      <c r="F29" s="7">
        <f t="shared" si="0"/>
        <v>226.97142857142856</v>
      </c>
      <c r="G29" s="237">
        <f t="shared" si="1"/>
        <v>3972</v>
      </c>
      <c r="H29" s="235">
        <f t="shared" si="2"/>
        <v>33.1</v>
      </c>
      <c r="I29" s="95">
        <f t="shared" si="3"/>
        <v>226.97142857142856</v>
      </c>
      <c r="J29" s="200">
        <f t="shared" si="4"/>
        <v>33.1</v>
      </c>
      <c r="K29" s="12">
        <f t="shared" si="5"/>
        <v>16640411.221971426</v>
      </c>
    </row>
    <row r="30" spans="1:11" x14ac:dyDescent="0.25">
      <c r="A30" s="41" t="s">
        <v>19</v>
      </c>
      <c r="B30" s="219">
        <v>1587.18</v>
      </c>
      <c r="C30" s="236">
        <v>1248.23</v>
      </c>
      <c r="D30" s="14">
        <f t="shared" si="6"/>
        <v>0.78644514169785407</v>
      </c>
      <c r="E30" s="8">
        <v>234</v>
      </c>
      <c r="F30" s="7">
        <f t="shared" si="0"/>
        <v>13.371428571428572</v>
      </c>
      <c r="G30" s="237">
        <f t="shared" si="1"/>
        <v>234</v>
      </c>
      <c r="H30" s="235">
        <f t="shared" si="2"/>
        <v>1.95</v>
      </c>
      <c r="I30" s="95">
        <f t="shared" si="3"/>
        <v>13.371428571428572</v>
      </c>
      <c r="J30" s="200">
        <f t="shared" si="4"/>
        <v>1.95</v>
      </c>
      <c r="K30" s="12">
        <f t="shared" si="5"/>
        <v>980326.34087142849</v>
      </c>
    </row>
    <row r="31" spans="1:11" x14ac:dyDescent="0.25">
      <c r="A31" s="41" t="s">
        <v>20</v>
      </c>
      <c r="B31" s="219">
        <v>46485.36</v>
      </c>
      <c r="C31" s="236">
        <v>24154.240000000002</v>
      </c>
      <c r="D31" s="14">
        <f t="shared" si="6"/>
        <v>0.51960961472601264</v>
      </c>
      <c r="E31" s="8">
        <v>4564</v>
      </c>
      <c r="F31" s="7">
        <f t="shared" si="0"/>
        <v>260.8</v>
      </c>
      <c r="G31" s="237">
        <f t="shared" si="1"/>
        <v>4564</v>
      </c>
      <c r="H31" s="235">
        <f t="shared" si="2"/>
        <v>38.033333333333331</v>
      </c>
      <c r="I31" s="95">
        <f t="shared" si="3"/>
        <v>260.8</v>
      </c>
      <c r="J31" s="200">
        <f t="shared" si="4"/>
        <v>38.033333333333331</v>
      </c>
      <c r="K31" s="12">
        <f t="shared" si="5"/>
        <v>19120553.075800002</v>
      </c>
    </row>
    <row r="32" spans="1:11" x14ac:dyDescent="0.25">
      <c r="A32" s="41" t="s">
        <v>21</v>
      </c>
      <c r="B32" s="219">
        <v>8259.2199999999993</v>
      </c>
      <c r="C32" s="236">
        <v>6117.46</v>
      </c>
      <c r="D32" s="14">
        <f t="shared" si="6"/>
        <v>0.74068253418603702</v>
      </c>
      <c r="E32" s="8">
        <v>994</v>
      </c>
      <c r="F32" s="7">
        <f t="shared" si="0"/>
        <v>56.8</v>
      </c>
      <c r="G32" s="237">
        <f t="shared" si="1"/>
        <v>994</v>
      </c>
      <c r="H32" s="235">
        <f t="shared" si="2"/>
        <v>8.2833333333333332</v>
      </c>
      <c r="I32" s="95">
        <f t="shared" si="3"/>
        <v>56.8</v>
      </c>
      <c r="J32" s="200">
        <f t="shared" si="4"/>
        <v>8.2833333333333332</v>
      </c>
      <c r="K32" s="12">
        <f t="shared" si="5"/>
        <v>4164292.2342999997</v>
      </c>
    </row>
    <row r="33" spans="1:11" x14ac:dyDescent="0.25">
      <c r="A33" s="41" t="s">
        <v>22</v>
      </c>
      <c r="B33" s="219">
        <v>4970.04</v>
      </c>
      <c r="C33" s="236">
        <v>3916.87</v>
      </c>
      <c r="D33" s="14">
        <f t="shared" si="6"/>
        <v>0.78809627286701911</v>
      </c>
      <c r="E33" s="8">
        <v>636</v>
      </c>
      <c r="F33" s="7">
        <f t="shared" si="0"/>
        <v>36.342857142857142</v>
      </c>
      <c r="G33" s="237">
        <f t="shared" si="1"/>
        <v>636</v>
      </c>
      <c r="H33" s="235">
        <f t="shared" si="2"/>
        <v>5.3</v>
      </c>
      <c r="I33" s="95">
        <f>F33</f>
        <v>36.342857142857142</v>
      </c>
      <c r="J33" s="200">
        <f t="shared" si="4"/>
        <v>5.3</v>
      </c>
      <c r="K33" s="12">
        <f t="shared" si="5"/>
        <v>2664476.7213428565</v>
      </c>
    </row>
    <row r="34" spans="1:11" x14ac:dyDescent="0.25">
      <c r="A34" s="41" t="s">
        <v>23</v>
      </c>
      <c r="B34" s="219">
        <v>6691.02</v>
      </c>
      <c r="C34" s="236">
        <v>5025.46</v>
      </c>
      <c r="D34" s="14">
        <f t="shared" si="6"/>
        <v>0.75107532184928449</v>
      </c>
      <c r="E34" s="8">
        <v>702</v>
      </c>
      <c r="F34" s="7">
        <f t="shared" si="0"/>
        <v>40.114285714285714</v>
      </c>
      <c r="G34" s="237">
        <f t="shared" si="1"/>
        <v>702</v>
      </c>
      <c r="H34" s="235">
        <f t="shared" si="2"/>
        <v>5.85</v>
      </c>
      <c r="I34" s="95">
        <f t="shared" si="3"/>
        <v>40.114285714285714</v>
      </c>
      <c r="J34" s="200">
        <f t="shared" si="4"/>
        <v>5.85</v>
      </c>
      <c r="K34" s="12">
        <f t="shared" si="5"/>
        <v>2940979.0226142858</v>
      </c>
    </row>
    <row r="35" spans="1:11" x14ac:dyDescent="0.25">
      <c r="A35" s="41" t="s">
        <v>24</v>
      </c>
      <c r="B35" s="219">
        <v>710.4</v>
      </c>
      <c r="C35" s="236">
        <v>656.97</v>
      </c>
      <c r="D35" s="14">
        <f t="shared" si="6"/>
        <v>0.92478885135135147</v>
      </c>
      <c r="E35" s="8">
        <v>126</v>
      </c>
      <c r="F35" s="7">
        <f t="shared" si="0"/>
        <v>7.2</v>
      </c>
      <c r="G35" s="237">
        <f t="shared" si="1"/>
        <v>126</v>
      </c>
      <c r="H35" s="235">
        <f t="shared" si="2"/>
        <v>1.05</v>
      </c>
      <c r="I35" s="95">
        <f t="shared" si="3"/>
        <v>7.2</v>
      </c>
      <c r="J35" s="200">
        <f t="shared" si="4"/>
        <v>1.05</v>
      </c>
      <c r="K35" s="12">
        <f t="shared" si="5"/>
        <v>527868.02969999996</v>
      </c>
    </row>
    <row r="36" spans="1:11" x14ac:dyDescent="0.25">
      <c r="A36" s="41" t="s">
        <v>25</v>
      </c>
      <c r="B36" s="219">
        <v>2753.54</v>
      </c>
      <c r="C36" s="236">
        <v>2395.11</v>
      </c>
      <c r="D36" s="14">
        <f t="shared" si="6"/>
        <v>0.8698293832666314</v>
      </c>
      <c r="E36" s="8">
        <v>500</v>
      </c>
      <c r="F36" s="7">
        <f t="shared" si="0"/>
        <v>28.571428571428573</v>
      </c>
      <c r="G36" s="237">
        <f t="shared" si="1"/>
        <v>500</v>
      </c>
      <c r="H36" s="235">
        <f t="shared" si="2"/>
        <v>4.166666666666667</v>
      </c>
      <c r="I36" s="95">
        <f t="shared" si="3"/>
        <v>28.571428571428573</v>
      </c>
      <c r="J36" s="200">
        <f t="shared" si="4"/>
        <v>4.166666666666667</v>
      </c>
      <c r="K36" s="12">
        <f t="shared" si="5"/>
        <v>2094714.4035714287</v>
      </c>
    </row>
    <row r="37" spans="1:11" x14ac:dyDescent="0.25">
      <c r="A37" s="41" t="s">
        <v>26</v>
      </c>
      <c r="B37" s="219">
        <v>1253.3399999999999</v>
      </c>
      <c r="C37" s="236">
        <v>789.47</v>
      </c>
      <c r="D37" s="14">
        <f t="shared" si="6"/>
        <v>0.62989292610145697</v>
      </c>
      <c r="E37" s="8">
        <v>152</v>
      </c>
      <c r="F37" s="7">
        <f t="shared" si="0"/>
        <v>8.6857142857142851</v>
      </c>
      <c r="G37" s="237">
        <f t="shared" si="1"/>
        <v>152</v>
      </c>
      <c r="H37" s="235">
        <f t="shared" si="2"/>
        <v>1.2666666666666666</v>
      </c>
      <c r="I37" s="95">
        <f t="shared" si="3"/>
        <v>8.6857142857142851</v>
      </c>
      <c r="J37" s="200">
        <f t="shared" si="4"/>
        <v>1.2666666666666666</v>
      </c>
      <c r="K37" s="12">
        <f t="shared" si="5"/>
        <v>636793.17868571426</v>
      </c>
    </row>
    <row r="38" spans="1:11" x14ac:dyDescent="0.25">
      <c r="A38" s="41" t="s">
        <v>27</v>
      </c>
      <c r="B38" s="219">
        <v>5263.6</v>
      </c>
      <c r="C38" s="236">
        <v>4431.29</v>
      </c>
      <c r="D38" s="14">
        <f t="shared" si="6"/>
        <v>0.84187438255186553</v>
      </c>
      <c r="E38" s="8">
        <v>852</v>
      </c>
      <c r="F38" s="7">
        <f t="shared" si="0"/>
        <v>48.685714285714283</v>
      </c>
      <c r="G38" s="237">
        <f t="shared" si="1"/>
        <v>852</v>
      </c>
      <c r="H38" s="235">
        <f t="shared" si="2"/>
        <v>7.1</v>
      </c>
      <c r="I38" s="95">
        <f t="shared" si="3"/>
        <v>48.685714285714283</v>
      </c>
      <c r="J38" s="200">
        <f t="shared" si="4"/>
        <v>7.1</v>
      </c>
      <c r="K38" s="12">
        <f t="shared" si="5"/>
        <v>3569393.3436857141</v>
      </c>
    </row>
    <row r="39" spans="1:11" x14ac:dyDescent="0.25">
      <c r="A39" s="41" t="s">
        <v>28</v>
      </c>
      <c r="B39" s="219">
        <v>9606.7099999999991</v>
      </c>
      <c r="C39" s="236">
        <v>7456.46</v>
      </c>
      <c r="D39" s="14">
        <f t="shared" si="6"/>
        <v>0.77617207139593059</v>
      </c>
      <c r="E39" s="8">
        <v>1328</v>
      </c>
      <c r="F39" s="7">
        <f t="shared" si="0"/>
        <v>75.885714285714286</v>
      </c>
      <c r="G39" s="237">
        <f t="shared" si="1"/>
        <v>1328</v>
      </c>
      <c r="H39" s="235">
        <f t="shared" si="2"/>
        <v>11.066666666666666</v>
      </c>
      <c r="I39" s="95">
        <f t="shared" si="3"/>
        <v>75.885714285714286</v>
      </c>
      <c r="J39" s="200">
        <f t="shared" si="4"/>
        <v>11.066666666666666</v>
      </c>
      <c r="K39" s="12">
        <f t="shared" si="5"/>
        <v>5563561.4558857139</v>
      </c>
    </row>
    <row r="40" spans="1:11" x14ac:dyDescent="0.25">
      <c r="A40" s="41" t="s">
        <v>29</v>
      </c>
      <c r="B40" s="219">
        <v>1528.03</v>
      </c>
      <c r="C40" s="236">
        <v>1086.46</v>
      </c>
      <c r="D40" s="14">
        <f t="shared" si="6"/>
        <v>0.711020071595453</v>
      </c>
      <c r="E40" s="8">
        <v>154</v>
      </c>
      <c r="F40" s="7">
        <f t="shared" si="0"/>
        <v>8.8000000000000007</v>
      </c>
      <c r="G40" s="237">
        <f t="shared" si="1"/>
        <v>154</v>
      </c>
      <c r="H40" s="235">
        <f t="shared" si="2"/>
        <v>1.2833333333333334</v>
      </c>
      <c r="I40" s="95">
        <f t="shared" si="3"/>
        <v>8.8000000000000007</v>
      </c>
      <c r="J40" s="200">
        <f t="shared" si="4"/>
        <v>1.2833333333333334</v>
      </c>
      <c r="K40" s="12">
        <f t="shared" si="5"/>
        <v>645172.03630000004</v>
      </c>
    </row>
    <row r="41" spans="1:11" x14ac:dyDescent="0.25">
      <c r="A41" s="41" t="s">
        <v>30</v>
      </c>
      <c r="B41" s="219">
        <v>3982.19</v>
      </c>
      <c r="C41" s="236">
        <v>3716.77</v>
      </c>
      <c r="D41" s="14">
        <f t="shared" si="6"/>
        <v>0.93334823300746572</v>
      </c>
      <c r="E41" s="8">
        <v>285</v>
      </c>
      <c r="F41" s="7">
        <f t="shared" si="0"/>
        <v>16.285714285714285</v>
      </c>
      <c r="G41" s="237">
        <f t="shared" si="1"/>
        <v>285</v>
      </c>
      <c r="H41" s="235">
        <f t="shared" si="2"/>
        <v>2.375</v>
      </c>
      <c r="I41" s="95">
        <f t="shared" si="3"/>
        <v>16.285714285714285</v>
      </c>
      <c r="J41" s="200">
        <f t="shared" si="4"/>
        <v>2.375</v>
      </c>
      <c r="K41" s="12">
        <f t="shared" si="5"/>
        <v>1193987.2100357141</v>
      </c>
    </row>
    <row r="42" spans="1:11" x14ac:dyDescent="0.25">
      <c r="A42" s="41" t="s">
        <v>31</v>
      </c>
      <c r="B42" s="219">
        <v>25440.37</v>
      </c>
      <c r="C42" s="236">
        <v>13001.24</v>
      </c>
      <c r="D42" s="14">
        <f t="shared" si="6"/>
        <v>0.51104759875740802</v>
      </c>
      <c r="E42" s="8">
        <v>2794</v>
      </c>
      <c r="F42" s="7">
        <f t="shared" si="0"/>
        <v>159.65714285714284</v>
      </c>
      <c r="G42" s="237">
        <f t="shared" si="1"/>
        <v>2794</v>
      </c>
      <c r="H42" s="235">
        <f t="shared" si="2"/>
        <v>23.283333333333335</v>
      </c>
      <c r="I42" s="95">
        <f t="shared" si="3"/>
        <v>159.65714285714284</v>
      </c>
      <c r="J42" s="200">
        <f t="shared" si="4"/>
        <v>23.283333333333335</v>
      </c>
      <c r="K42" s="12">
        <f t="shared" si="5"/>
        <v>11705264.087157141</v>
      </c>
    </row>
    <row r="43" spans="1:11" x14ac:dyDescent="0.25">
      <c r="A43" s="41" t="s">
        <v>32</v>
      </c>
      <c r="B43" s="219">
        <v>2145.29</v>
      </c>
      <c r="C43" s="236">
        <v>1651.18</v>
      </c>
      <c r="D43" s="14">
        <f t="shared" si="6"/>
        <v>0.76967682690918249</v>
      </c>
      <c r="E43" s="8">
        <v>373</v>
      </c>
      <c r="F43" s="7">
        <f t="shared" si="0"/>
        <v>21.314285714285713</v>
      </c>
      <c r="G43" s="237">
        <f t="shared" si="1"/>
        <v>373</v>
      </c>
      <c r="H43" s="235">
        <f t="shared" si="2"/>
        <v>3.1083333333333334</v>
      </c>
      <c r="I43" s="95">
        <f t="shared" si="3"/>
        <v>21.314285714285713</v>
      </c>
      <c r="J43" s="200">
        <f t="shared" si="4"/>
        <v>3.1083333333333334</v>
      </c>
      <c r="K43" s="12">
        <f t="shared" si="5"/>
        <v>1562656.9450642855</v>
      </c>
    </row>
    <row r="44" spans="1:11" x14ac:dyDescent="0.25">
      <c r="A44" s="41" t="s">
        <v>33</v>
      </c>
      <c r="B44" s="219">
        <v>3224.83</v>
      </c>
      <c r="C44" s="236">
        <v>2075.11</v>
      </c>
      <c r="D44" s="14">
        <f t="shared" si="6"/>
        <v>0.64347888105729611</v>
      </c>
      <c r="E44" s="8">
        <v>378</v>
      </c>
      <c r="F44" s="7">
        <f t="shared" si="0"/>
        <v>21.6</v>
      </c>
      <c r="G44" s="237">
        <f t="shared" si="1"/>
        <v>378</v>
      </c>
      <c r="H44" s="235">
        <f t="shared" si="2"/>
        <v>3.15</v>
      </c>
      <c r="I44" s="95">
        <f t="shared" si="3"/>
        <v>21.6</v>
      </c>
      <c r="J44" s="200">
        <f t="shared" si="4"/>
        <v>3.15</v>
      </c>
      <c r="K44" s="12">
        <f t="shared" si="5"/>
        <v>1583604.0891</v>
      </c>
    </row>
    <row r="45" spans="1:11" x14ac:dyDescent="0.25">
      <c r="A45" s="41" t="s">
        <v>34</v>
      </c>
      <c r="B45" s="219">
        <v>2373.3200000000002</v>
      </c>
      <c r="C45" s="236">
        <v>2070.19</v>
      </c>
      <c r="D45" s="14">
        <f t="shared" si="6"/>
        <v>0.87227596784251593</v>
      </c>
      <c r="E45" s="8">
        <v>363</v>
      </c>
      <c r="F45" s="7">
        <f t="shared" si="0"/>
        <v>20.742857142857144</v>
      </c>
      <c r="G45" s="237">
        <f t="shared" si="1"/>
        <v>363</v>
      </c>
      <c r="H45" s="235">
        <f t="shared" si="2"/>
        <v>3.0249999999999999</v>
      </c>
      <c r="I45" s="95">
        <f t="shared" si="3"/>
        <v>20.742857142857144</v>
      </c>
      <c r="J45" s="200">
        <f t="shared" si="4"/>
        <v>3.0249999999999999</v>
      </c>
      <c r="K45" s="12">
        <f t="shared" si="5"/>
        <v>1520762.6569928571</v>
      </c>
    </row>
    <row r="46" spans="1:11" x14ac:dyDescent="0.25">
      <c r="A46" s="41" t="s">
        <v>35</v>
      </c>
      <c r="B46" s="219">
        <v>15667.43</v>
      </c>
      <c r="C46" s="236">
        <v>10603.64</v>
      </c>
      <c r="D46" s="14">
        <f t="shared" si="6"/>
        <v>0.67679510934467235</v>
      </c>
      <c r="E46" s="8">
        <v>2325</v>
      </c>
      <c r="F46" s="7">
        <f t="shared" si="0"/>
        <v>132.85714285714286</v>
      </c>
      <c r="G46" s="237">
        <f t="shared" si="1"/>
        <v>2325</v>
      </c>
      <c r="H46" s="235">
        <f t="shared" si="2"/>
        <v>19.375</v>
      </c>
      <c r="I46" s="95">
        <f t="shared" si="3"/>
        <v>132.85714285714286</v>
      </c>
      <c r="J46" s="200">
        <f t="shared" si="4"/>
        <v>19.375</v>
      </c>
      <c r="K46" s="12">
        <f t="shared" si="5"/>
        <v>9740421.976607142</v>
      </c>
    </row>
    <row r="47" spans="1:11" x14ac:dyDescent="0.25">
      <c r="A47" s="41" t="s">
        <v>36</v>
      </c>
      <c r="B47" s="219">
        <v>1091.3900000000001</v>
      </c>
      <c r="C47" s="236">
        <v>772.62</v>
      </c>
      <c r="D47" s="14">
        <f t="shared" si="6"/>
        <v>0.70792292397767975</v>
      </c>
      <c r="E47" s="8">
        <v>174</v>
      </c>
      <c r="F47" s="7">
        <f t="shared" si="0"/>
        <v>9.9428571428571431</v>
      </c>
      <c r="G47" s="237">
        <f t="shared" si="1"/>
        <v>174</v>
      </c>
      <c r="H47" s="235">
        <f t="shared" si="2"/>
        <v>1.45</v>
      </c>
      <c r="I47" s="95">
        <f t="shared" si="3"/>
        <v>9.9428571428571431</v>
      </c>
      <c r="J47" s="200">
        <f t="shared" si="4"/>
        <v>1.45</v>
      </c>
      <c r="K47" s="12">
        <f t="shared" ref="K47:K79" si="7">(I47+J47)*$B$7</f>
        <v>728960.61244285712</v>
      </c>
    </row>
    <row r="48" spans="1:11" x14ac:dyDescent="0.25">
      <c r="A48" s="41" t="s">
        <v>37</v>
      </c>
      <c r="B48" s="219">
        <v>3269.06</v>
      </c>
      <c r="C48" s="236">
        <v>2915.7</v>
      </c>
      <c r="D48" s="14">
        <f t="shared" si="6"/>
        <v>0.89190776553504669</v>
      </c>
      <c r="E48" s="8">
        <v>610</v>
      </c>
      <c r="F48" s="7">
        <f t="shared" si="0"/>
        <v>34.857142857142854</v>
      </c>
      <c r="G48" s="237">
        <f t="shared" si="1"/>
        <v>610</v>
      </c>
      <c r="H48" s="235">
        <f t="shared" si="2"/>
        <v>5.083333333333333</v>
      </c>
      <c r="I48" s="95">
        <f t="shared" si="3"/>
        <v>34.857142857142854</v>
      </c>
      <c r="J48" s="200">
        <f t="shared" si="4"/>
        <v>5.083333333333333</v>
      </c>
      <c r="K48" s="12">
        <f t="shared" si="7"/>
        <v>2555551.5723571428</v>
      </c>
    </row>
    <row r="49" spans="1:11" x14ac:dyDescent="0.25">
      <c r="A49" s="41" t="s">
        <v>38</v>
      </c>
      <c r="B49" s="219">
        <v>656.05</v>
      </c>
      <c r="C49" s="236">
        <v>619.41</v>
      </c>
      <c r="D49" s="14">
        <f t="shared" si="6"/>
        <v>0.94415059827757031</v>
      </c>
      <c r="E49" s="8">
        <v>112</v>
      </c>
      <c r="F49" s="7">
        <f t="shared" si="0"/>
        <v>6.4</v>
      </c>
      <c r="G49" s="237">
        <f t="shared" si="1"/>
        <v>112</v>
      </c>
      <c r="H49" s="235">
        <f t="shared" si="2"/>
        <v>0.93333333333333335</v>
      </c>
      <c r="I49" s="95">
        <f t="shared" si="3"/>
        <v>6.4</v>
      </c>
      <c r="J49" s="200">
        <f t="shared" si="4"/>
        <v>0.93333333333333335</v>
      </c>
      <c r="K49" s="12">
        <f t="shared" si="7"/>
        <v>469216.02640000003</v>
      </c>
    </row>
    <row r="50" spans="1:11" x14ac:dyDescent="0.25">
      <c r="A50" s="41" t="s">
        <v>39</v>
      </c>
      <c r="B50" s="219">
        <v>1181.8699999999999</v>
      </c>
      <c r="C50" s="236">
        <v>827.32</v>
      </c>
      <c r="D50" s="14">
        <f t="shared" si="6"/>
        <v>0.70000930728421917</v>
      </c>
      <c r="E50" s="8">
        <v>230</v>
      </c>
      <c r="F50" s="7">
        <f t="shared" si="0"/>
        <v>13.142857142857142</v>
      </c>
      <c r="G50" s="237">
        <f t="shared" si="1"/>
        <v>230</v>
      </c>
      <c r="H50" s="235">
        <f t="shared" si="2"/>
        <v>1.9166666666666667</v>
      </c>
      <c r="I50" s="95">
        <f t="shared" si="3"/>
        <v>13.142857142857142</v>
      </c>
      <c r="J50" s="200">
        <f t="shared" si="4"/>
        <v>1.9166666666666667</v>
      </c>
      <c r="K50" s="12">
        <f t="shared" si="7"/>
        <v>963568.62564285705</v>
      </c>
    </row>
    <row r="51" spans="1:11" x14ac:dyDescent="0.25">
      <c r="A51" s="41" t="s">
        <v>40</v>
      </c>
      <c r="B51" s="219">
        <v>8929.7900000000009</v>
      </c>
      <c r="C51" s="236">
        <v>6097.28</v>
      </c>
      <c r="D51" s="14">
        <f t="shared" si="6"/>
        <v>0.68280217115968</v>
      </c>
      <c r="E51" s="8">
        <v>1316</v>
      </c>
      <c r="F51" s="7">
        <f t="shared" si="0"/>
        <v>75.2</v>
      </c>
      <c r="G51" s="237">
        <f t="shared" si="1"/>
        <v>1316</v>
      </c>
      <c r="H51" s="235">
        <f t="shared" si="2"/>
        <v>10.966666666666667</v>
      </c>
      <c r="I51" s="95">
        <f t="shared" si="3"/>
        <v>75.2</v>
      </c>
      <c r="J51" s="200">
        <f t="shared" si="4"/>
        <v>10.966666666666667</v>
      </c>
      <c r="K51" s="12">
        <f t="shared" si="7"/>
        <v>5513288.3102000002</v>
      </c>
    </row>
    <row r="52" spans="1:11" x14ac:dyDescent="0.25">
      <c r="A52" s="41" t="s">
        <v>41</v>
      </c>
      <c r="B52" s="219">
        <v>74161.66</v>
      </c>
      <c r="C52" s="236">
        <v>40174.94</v>
      </c>
      <c r="D52" s="14">
        <f t="shared" si="6"/>
        <v>0.54172115349090078</v>
      </c>
      <c r="E52" s="8">
        <v>10622</v>
      </c>
      <c r="F52" s="7">
        <f t="shared" si="0"/>
        <v>606.97142857142853</v>
      </c>
      <c r="G52" s="237">
        <f t="shared" si="1"/>
        <v>10622</v>
      </c>
      <c r="H52" s="235">
        <f t="shared" si="2"/>
        <v>88.516666666666666</v>
      </c>
      <c r="I52" s="95">
        <f t="shared" si="3"/>
        <v>606.97142857142853</v>
      </c>
      <c r="J52" s="200">
        <f t="shared" si="4"/>
        <v>88.516666666666666</v>
      </c>
      <c r="K52" s="12">
        <f t="shared" si="7"/>
        <v>44500112.789471425</v>
      </c>
    </row>
    <row r="53" spans="1:11" x14ac:dyDescent="0.25">
      <c r="A53" s="41" t="s">
        <v>42</v>
      </c>
      <c r="B53" s="219">
        <v>8515.0300000000007</v>
      </c>
      <c r="C53" s="236">
        <v>6247.89</v>
      </c>
      <c r="D53" s="14">
        <f t="shared" si="6"/>
        <v>0.73374844245997961</v>
      </c>
      <c r="E53" s="8">
        <v>941</v>
      </c>
      <c r="F53" s="7">
        <f t="shared" si="0"/>
        <v>53.771428571428572</v>
      </c>
      <c r="G53" s="237">
        <f t="shared" si="1"/>
        <v>941</v>
      </c>
      <c r="H53" s="235">
        <f t="shared" si="2"/>
        <v>7.8416666666666668</v>
      </c>
      <c r="I53" s="95">
        <f t="shared" si="3"/>
        <v>53.771428571428572</v>
      </c>
      <c r="J53" s="200">
        <f t="shared" si="4"/>
        <v>7.8416666666666668</v>
      </c>
      <c r="K53" s="12">
        <f t="shared" si="7"/>
        <v>3942252.5075214286</v>
      </c>
    </row>
    <row r="54" spans="1:11" x14ac:dyDescent="0.25">
      <c r="A54" s="41" t="s">
        <v>43</v>
      </c>
      <c r="B54" s="219">
        <v>898.58</v>
      </c>
      <c r="C54" s="236">
        <v>677.73</v>
      </c>
      <c r="D54" s="14">
        <f t="shared" si="6"/>
        <v>0.75422333014311471</v>
      </c>
      <c r="E54" s="8">
        <v>133</v>
      </c>
      <c r="F54" s="7">
        <f t="shared" si="0"/>
        <v>7.6</v>
      </c>
      <c r="G54" s="237">
        <f t="shared" si="1"/>
        <v>133</v>
      </c>
      <c r="H54" s="235">
        <f t="shared" si="2"/>
        <v>1.1083333333333334</v>
      </c>
      <c r="I54" s="95">
        <f t="shared" si="3"/>
        <v>7.6</v>
      </c>
      <c r="J54" s="200">
        <f t="shared" si="4"/>
        <v>1.1083333333333334</v>
      </c>
      <c r="K54" s="12">
        <f t="shared" si="7"/>
        <v>557194.03134999995</v>
      </c>
    </row>
    <row r="55" spans="1:11" x14ac:dyDescent="0.25">
      <c r="A55" s="41" t="s">
        <v>44</v>
      </c>
      <c r="B55" s="219">
        <v>1516.32</v>
      </c>
      <c r="C55" s="236">
        <v>927.29</v>
      </c>
      <c r="D55" s="14">
        <f t="shared" si="6"/>
        <v>0.61153978052126201</v>
      </c>
      <c r="E55" s="8">
        <v>158</v>
      </c>
      <c r="F55" s="7">
        <f t="shared" si="0"/>
        <v>9.0285714285714285</v>
      </c>
      <c r="G55" s="237">
        <f t="shared" si="1"/>
        <v>158</v>
      </c>
      <c r="H55" s="235">
        <f t="shared" si="2"/>
        <v>1.3166666666666667</v>
      </c>
      <c r="I55" s="95">
        <f t="shared" si="3"/>
        <v>9.0285714285714285</v>
      </c>
      <c r="J55" s="200">
        <f t="shared" si="4"/>
        <v>1.3166666666666667</v>
      </c>
      <c r="K55" s="12">
        <f t="shared" si="7"/>
        <v>661929.75152857136</v>
      </c>
    </row>
    <row r="56" spans="1:11" x14ac:dyDescent="0.25">
      <c r="A56" s="41" t="s">
        <v>45</v>
      </c>
      <c r="B56" s="219">
        <v>2087.65</v>
      </c>
      <c r="C56" s="236">
        <v>1641.59</v>
      </c>
      <c r="D56" s="14">
        <f t="shared" si="6"/>
        <v>0.78633391612578729</v>
      </c>
      <c r="E56" s="8">
        <v>196</v>
      </c>
      <c r="F56" s="7">
        <f t="shared" si="0"/>
        <v>11.2</v>
      </c>
      <c r="G56" s="237">
        <f t="shared" si="1"/>
        <v>196</v>
      </c>
      <c r="H56" s="235">
        <f t="shared" si="2"/>
        <v>1.6333333333333333</v>
      </c>
      <c r="I56" s="95">
        <f t="shared" si="3"/>
        <v>11.2</v>
      </c>
      <c r="J56" s="200">
        <f t="shared" si="4"/>
        <v>1.6333333333333333</v>
      </c>
      <c r="K56" s="12">
        <f t="shared" si="7"/>
        <v>821128.04619999987</v>
      </c>
    </row>
    <row r="57" spans="1:11" x14ac:dyDescent="0.25">
      <c r="A57" s="41" t="s">
        <v>46</v>
      </c>
      <c r="B57" s="219">
        <v>662.1</v>
      </c>
      <c r="C57" s="236">
        <v>607.41</v>
      </c>
      <c r="D57" s="14">
        <f t="shared" si="6"/>
        <v>0.91739918441323054</v>
      </c>
      <c r="E57" s="8">
        <v>103</v>
      </c>
      <c r="F57" s="7">
        <f t="shared" si="0"/>
        <v>5.8857142857142861</v>
      </c>
      <c r="G57" s="237">
        <f t="shared" si="1"/>
        <v>103</v>
      </c>
      <c r="H57" s="235">
        <f t="shared" si="2"/>
        <v>0.85833333333333328</v>
      </c>
      <c r="I57" s="95">
        <f t="shared" si="3"/>
        <v>5.8857142857142861</v>
      </c>
      <c r="J57" s="200">
        <f t="shared" si="4"/>
        <v>0.85833333333333328</v>
      </c>
      <c r="K57" s="12">
        <f t="shared" si="7"/>
        <v>431511.16713571426</v>
      </c>
    </row>
    <row r="58" spans="1:11" x14ac:dyDescent="0.25">
      <c r="A58" s="41" t="s">
        <v>47</v>
      </c>
      <c r="B58" s="219">
        <v>43529.94</v>
      </c>
      <c r="C58" s="236">
        <v>28552.12</v>
      </c>
      <c r="D58" s="14">
        <f t="shared" si="6"/>
        <v>0.65591912141390496</v>
      </c>
      <c r="E58" s="8">
        <v>5858</v>
      </c>
      <c r="F58" s="7">
        <f t="shared" si="0"/>
        <v>334.74285714285713</v>
      </c>
      <c r="G58" s="237">
        <f t="shared" si="1"/>
        <v>5858</v>
      </c>
      <c r="H58" s="235">
        <f t="shared" si="2"/>
        <v>48.81666666666667</v>
      </c>
      <c r="I58" s="95">
        <f t="shared" si="3"/>
        <v>334.74285714285713</v>
      </c>
      <c r="J58" s="200">
        <f t="shared" si="4"/>
        <v>48.81666666666667</v>
      </c>
      <c r="K58" s="12">
        <f t="shared" si="7"/>
        <v>24541673.952242855</v>
      </c>
    </row>
    <row r="59" spans="1:11" x14ac:dyDescent="0.25">
      <c r="A59" s="41" t="s">
        <v>48</v>
      </c>
      <c r="B59" s="219">
        <v>2404.8000000000002</v>
      </c>
      <c r="C59" s="236">
        <v>2167.39</v>
      </c>
      <c r="D59" s="14">
        <f t="shared" si="6"/>
        <v>0.90127661343978693</v>
      </c>
      <c r="E59" s="8">
        <v>239</v>
      </c>
      <c r="F59" s="7">
        <f t="shared" si="0"/>
        <v>13.657142857142857</v>
      </c>
      <c r="G59" s="237">
        <f t="shared" si="1"/>
        <v>239</v>
      </c>
      <c r="H59" s="235">
        <f t="shared" si="2"/>
        <v>1.9916666666666667</v>
      </c>
      <c r="I59" s="95">
        <f t="shared" si="3"/>
        <v>13.657142857142857</v>
      </c>
      <c r="J59" s="200">
        <f t="shared" si="4"/>
        <v>1.9916666666666667</v>
      </c>
      <c r="K59" s="12">
        <f t="shared" si="7"/>
        <v>1001273.4849071428</v>
      </c>
    </row>
    <row r="60" spans="1:11" x14ac:dyDescent="0.25">
      <c r="A60" s="41" t="s">
        <v>49</v>
      </c>
      <c r="B60" s="219">
        <v>10525.82</v>
      </c>
      <c r="C60" s="236">
        <v>6404.09</v>
      </c>
      <c r="D60" s="14">
        <f t="shared" si="6"/>
        <v>0.60841720645042385</v>
      </c>
      <c r="E60" s="8">
        <v>1350</v>
      </c>
      <c r="F60" s="7">
        <f t="shared" si="0"/>
        <v>77.142857142857139</v>
      </c>
      <c r="G60" s="237">
        <f t="shared" si="1"/>
        <v>1350</v>
      </c>
      <c r="H60" s="235">
        <f t="shared" si="2"/>
        <v>11.25</v>
      </c>
      <c r="I60" s="95">
        <f t="shared" si="3"/>
        <v>77.142857142857139</v>
      </c>
      <c r="J60" s="200">
        <f t="shared" si="4"/>
        <v>11.25</v>
      </c>
      <c r="K60" s="12">
        <f t="shared" si="7"/>
        <v>5655728.889642857</v>
      </c>
    </row>
    <row r="61" spans="1:11" x14ac:dyDescent="0.25">
      <c r="A61" s="41" t="s">
        <v>50</v>
      </c>
      <c r="B61" s="219">
        <v>13258.42</v>
      </c>
      <c r="C61" s="236">
        <v>7286.27</v>
      </c>
      <c r="D61" s="14">
        <f t="shared" si="6"/>
        <v>0.54955794129315561</v>
      </c>
      <c r="E61" s="8">
        <v>1793</v>
      </c>
      <c r="F61" s="7">
        <f t="shared" si="0"/>
        <v>102.45714285714286</v>
      </c>
      <c r="G61" s="237">
        <f t="shared" si="1"/>
        <v>1793</v>
      </c>
      <c r="H61" s="235">
        <f t="shared" si="2"/>
        <v>14.941666666666666</v>
      </c>
      <c r="I61" s="95">
        <f t="shared" si="3"/>
        <v>102.45714285714286</v>
      </c>
      <c r="J61" s="200">
        <f t="shared" si="4"/>
        <v>14.941666666666666</v>
      </c>
      <c r="K61" s="12">
        <f t="shared" si="7"/>
        <v>7511645.8512071418</v>
      </c>
    </row>
    <row r="62" spans="1:11" x14ac:dyDescent="0.25">
      <c r="A62" s="41" t="s">
        <v>51</v>
      </c>
      <c r="B62" s="219">
        <v>5388.16</v>
      </c>
      <c r="C62" s="236">
        <v>4016.61</v>
      </c>
      <c r="D62" s="14">
        <f t="shared" si="6"/>
        <v>0.74545113730846901</v>
      </c>
      <c r="E62" s="8">
        <v>818</v>
      </c>
      <c r="F62" s="7">
        <f t="shared" si="0"/>
        <v>46.74285714285714</v>
      </c>
      <c r="G62" s="237">
        <f t="shared" si="1"/>
        <v>818</v>
      </c>
      <c r="H62" s="235">
        <f t="shared" si="2"/>
        <v>6.8166666666666664</v>
      </c>
      <c r="I62" s="95">
        <f t="shared" si="3"/>
        <v>46.74285714285714</v>
      </c>
      <c r="J62" s="200">
        <f t="shared" si="4"/>
        <v>6.8166666666666664</v>
      </c>
      <c r="K62" s="12">
        <f t="shared" si="7"/>
        <v>3426952.7642428568</v>
      </c>
    </row>
    <row r="63" spans="1:11" x14ac:dyDescent="0.25">
      <c r="A63" s="41" t="s">
        <v>52</v>
      </c>
      <c r="B63" s="219">
        <v>2979.52</v>
      </c>
      <c r="C63" s="236">
        <v>2390.0300000000002</v>
      </c>
      <c r="D63" s="14">
        <f t="shared" si="6"/>
        <v>0.80215269573622605</v>
      </c>
      <c r="E63" s="8">
        <v>539</v>
      </c>
      <c r="F63" s="7">
        <f t="shared" si="0"/>
        <v>30.8</v>
      </c>
      <c r="G63" s="237">
        <f t="shared" si="1"/>
        <v>539</v>
      </c>
      <c r="H63" s="235">
        <f t="shared" si="2"/>
        <v>4.4916666666666663</v>
      </c>
      <c r="I63" s="95">
        <f t="shared" si="3"/>
        <v>30.8</v>
      </c>
      <c r="J63" s="200">
        <f t="shared" si="4"/>
        <v>4.4916666666666663</v>
      </c>
      <c r="K63" s="12">
        <f t="shared" si="7"/>
        <v>2258102.1270499998</v>
      </c>
    </row>
    <row r="64" spans="1:11" x14ac:dyDescent="0.25">
      <c r="A64" s="41" t="s">
        <v>53</v>
      </c>
      <c r="B64" s="219">
        <v>1729.85</v>
      </c>
      <c r="C64" s="236">
        <v>1597.53</v>
      </c>
      <c r="D64" s="14">
        <f t="shared" si="6"/>
        <v>0.92350781859698816</v>
      </c>
      <c r="E64" s="8">
        <v>215</v>
      </c>
      <c r="F64" s="7">
        <f t="shared" si="0"/>
        <v>12.285714285714286</v>
      </c>
      <c r="G64" s="237">
        <f t="shared" si="1"/>
        <v>215</v>
      </c>
      <c r="H64" s="235">
        <f t="shared" si="2"/>
        <v>1.7916666666666667</v>
      </c>
      <c r="I64" s="95">
        <f t="shared" si="3"/>
        <v>12.285714285714286</v>
      </c>
      <c r="J64" s="200">
        <f t="shared" si="4"/>
        <v>1.7916666666666667</v>
      </c>
      <c r="K64" s="12">
        <f t="shared" si="7"/>
        <v>900727.19353571429</v>
      </c>
    </row>
    <row r="65" spans="1:11" x14ac:dyDescent="0.25">
      <c r="A65" s="41" t="s">
        <v>54</v>
      </c>
      <c r="B65" s="219">
        <v>25998.85</v>
      </c>
      <c r="C65" s="236">
        <v>11560.42</v>
      </c>
      <c r="D65" s="14">
        <f t="shared" si="6"/>
        <v>0.44465120572640715</v>
      </c>
      <c r="E65" s="8">
        <v>3189</v>
      </c>
      <c r="F65" s="7">
        <f t="shared" si="0"/>
        <v>182.22857142857143</v>
      </c>
      <c r="G65" s="237">
        <f t="shared" si="1"/>
        <v>3189</v>
      </c>
      <c r="H65" s="235">
        <f t="shared" si="2"/>
        <v>26.574999999999999</v>
      </c>
      <c r="I65" s="95">
        <f t="shared" si="3"/>
        <v>182.22857142857143</v>
      </c>
      <c r="J65" s="200">
        <f t="shared" si="4"/>
        <v>26.574999999999999</v>
      </c>
      <c r="K65" s="12">
        <f t="shared" si="7"/>
        <v>13360088.46597857</v>
      </c>
    </row>
    <row r="66" spans="1:11" x14ac:dyDescent="0.25">
      <c r="A66" s="41" t="s">
        <v>55</v>
      </c>
      <c r="B66" s="219">
        <v>8632.56</v>
      </c>
      <c r="C66" s="236">
        <v>6583.08</v>
      </c>
      <c r="D66" s="14">
        <f t="shared" si="6"/>
        <v>0.76258722789068367</v>
      </c>
      <c r="E66" s="8">
        <v>1321</v>
      </c>
      <c r="F66" s="7">
        <f t="shared" si="0"/>
        <v>75.48571428571428</v>
      </c>
      <c r="G66" s="237">
        <f t="shared" si="1"/>
        <v>1321</v>
      </c>
      <c r="H66" s="235">
        <f t="shared" si="2"/>
        <v>11.008333333333333</v>
      </c>
      <c r="I66" s="95">
        <f t="shared" si="3"/>
        <v>75.48571428571428</v>
      </c>
      <c r="J66" s="200">
        <f t="shared" si="4"/>
        <v>11.008333333333333</v>
      </c>
      <c r="K66" s="12">
        <f t="shared" si="7"/>
        <v>5534235.4542357139</v>
      </c>
    </row>
    <row r="67" spans="1:11" x14ac:dyDescent="0.25">
      <c r="A67" s="41" t="s">
        <v>56</v>
      </c>
      <c r="B67" s="219">
        <v>1939.18</v>
      </c>
      <c r="C67" s="236">
        <v>1384.39</v>
      </c>
      <c r="D67" s="14">
        <f t="shared" si="6"/>
        <v>0.71390484637836615</v>
      </c>
      <c r="E67" s="8">
        <v>306</v>
      </c>
      <c r="F67" s="7">
        <f t="shared" si="0"/>
        <v>17.485714285714284</v>
      </c>
      <c r="G67" s="237">
        <f t="shared" si="1"/>
        <v>306</v>
      </c>
      <c r="H67" s="235">
        <f t="shared" si="2"/>
        <v>2.5499999999999998</v>
      </c>
      <c r="I67" s="95">
        <f t="shared" si="3"/>
        <v>17.485714285714284</v>
      </c>
      <c r="J67" s="200">
        <f t="shared" si="4"/>
        <v>2.5499999999999998</v>
      </c>
      <c r="K67" s="12">
        <f t="shared" si="7"/>
        <v>1281965.2149857141</v>
      </c>
    </row>
    <row r="68" spans="1:11" x14ac:dyDescent="0.25">
      <c r="A68" s="41" t="s">
        <v>57</v>
      </c>
      <c r="B68" s="219">
        <v>3124.12</v>
      </c>
      <c r="C68" s="236">
        <v>2504.67</v>
      </c>
      <c r="D68" s="14">
        <f t="shared" si="6"/>
        <v>0.80172016439829463</v>
      </c>
      <c r="E68" s="8">
        <v>583</v>
      </c>
      <c r="F68" s="7">
        <f t="shared" si="0"/>
        <v>33.314285714285717</v>
      </c>
      <c r="G68" s="237">
        <f t="shared" si="1"/>
        <v>583</v>
      </c>
      <c r="H68" s="235">
        <f t="shared" si="2"/>
        <v>4.8583333333333334</v>
      </c>
      <c r="I68" s="95">
        <f t="shared" si="3"/>
        <v>33.314285714285717</v>
      </c>
      <c r="J68" s="200">
        <f t="shared" si="4"/>
        <v>4.8583333333333334</v>
      </c>
      <c r="K68" s="12">
        <f t="shared" si="7"/>
        <v>2442436.994564286</v>
      </c>
    </row>
    <row r="69" spans="1:11" x14ac:dyDescent="0.25">
      <c r="A69" s="41" t="s">
        <v>58</v>
      </c>
      <c r="B69" s="219">
        <v>16899.259999999998</v>
      </c>
      <c r="C69" s="236">
        <v>7185.6</v>
      </c>
      <c r="D69" s="14">
        <f t="shared" si="6"/>
        <v>0.42520205026728985</v>
      </c>
      <c r="E69" s="8">
        <v>2148</v>
      </c>
      <c r="F69" s="7">
        <f t="shared" si="0"/>
        <v>122.74285714285715</v>
      </c>
      <c r="G69" s="237">
        <f t="shared" si="1"/>
        <v>2148</v>
      </c>
      <c r="H69" s="235">
        <f t="shared" si="2"/>
        <v>17.899999999999999</v>
      </c>
      <c r="I69" s="95">
        <f t="shared" si="3"/>
        <v>122.74285714285715</v>
      </c>
      <c r="J69" s="200">
        <f t="shared" si="4"/>
        <v>17.899999999999999</v>
      </c>
      <c r="K69" s="12">
        <f t="shared" si="7"/>
        <v>8998893.077742856</v>
      </c>
    </row>
    <row r="70" spans="1:11" x14ac:dyDescent="0.25">
      <c r="A70" s="41" t="s">
        <v>59</v>
      </c>
      <c r="B70" s="219">
        <v>4230.8599999999997</v>
      </c>
      <c r="C70" s="236">
        <v>3894.1</v>
      </c>
      <c r="D70" s="14">
        <f t="shared" si="6"/>
        <v>0.92040388951655228</v>
      </c>
      <c r="E70" s="8">
        <v>694</v>
      </c>
      <c r="F70" s="7">
        <f t="shared" si="0"/>
        <v>39.657142857142858</v>
      </c>
      <c r="G70" s="237">
        <f t="shared" si="1"/>
        <v>694</v>
      </c>
      <c r="H70" s="235">
        <f t="shared" si="2"/>
        <v>5.7833333333333332</v>
      </c>
      <c r="I70" s="95">
        <f t="shared" si="3"/>
        <v>39.657142857142858</v>
      </c>
      <c r="J70" s="200">
        <f t="shared" si="4"/>
        <v>5.7833333333333332</v>
      </c>
      <c r="K70" s="12">
        <f t="shared" si="7"/>
        <v>2907463.5921571427</v>
      </c>
    </row>
    <row r="71" spans="1:11" x14ac:dyDescent="0.25">
      <c r="A71" s="41" t="s">
        <v>60</v>
      </c>
      <c r="B71" s="219">
        <v>3684.37</v>
      </c>
      <c r="C71" s="236">
        <v>3216.9</v>
      </c>
      <c r="D71" s="14">
        <f t="shared" si="6"/>
        <v>0.87312077777204788</v>
      </c>
      <c r="E71" s="8">
        <v>516</v>
      </c>
      <c r="F71" s="7">
        <f t="shared" si="0"/>
        <v>29.485714285714284</v>
      </c>
      <c r="G71" s="237">
        <f t="shared" si="1"/>
        <v>516</v>
      </c>
      <c r="H71" s="235">
        <f t="shared" si="2"/>
        <v>4.3</v>
      </c>
      <c r="I71" s="95">
        <f t="shared" si="3"/>
        <v>29.485714285714284</v>
      </c>
      <c r="J71" s="200">
        <f t="shared" si="4"/>
        <v>4.3</v>
      </c>
      <c r="K71" s="12">
        <f t="shared" si="7"/>
        <v>2161745.264485714</v>
      </c>
    </row>
    <row r="72" spans="1:11" x14ac:dyDescent="0.25">
      <c r="A72" s="41" t="s">
        <v>61</v>
      </c>
      <c r="B72" s="219">
        <v>665.85</v>
      </c>
      <c r="C72" s="236">
        <v>557.95000000000005</v>
      </c>
      <c r="D72" s="14">
        <f t="shared" si="6"/>
        <v>0.83795149057595564</v>
      </c>
      <c r="E72" s="8">
        <v>99</v>
      </c>
      <c r="F72" s="7">
        <f t="shared" si="0"/>
        <v>5.6571428571428575</v>
      </c>
      <c r="G72" s="237">
        <f t="shared" si="1"/>
        <v>99</v>
      </c>
      <c r="H72" s="235">
        <f t="shared" si="2"/>
        <v>0.82499999999999996</v>
      </c>
      <c r="I72" s="95">
        <f t="shared" si="3"/>
        <v>5.6571428571428575</v>
      </c>
      <c r="J72" s="200">
        <f t="shared" si="4"/>
        <v>0.82499999999999996</v>
      </c>
      <c r="K72" s="12">
        <f t="shared" si="7"/>
        <v>414753.45190714288</v>
      </c>
    </row>
    <row r="73" spans="1:11" x14ac:dyDescent="0.25">
      <c r="A73" s="41" t="s">
        <v>62</v>
      </c>
      <c r="B73" s="219">
        <v>5751.42</v>
      </c>
      <c r="C73" s="236">
        <v>4084.96</v>
      </c>
      <c r="D73" s="14">
        <f t="shared" si="6"/>
        <v>0.71025242461861593</v>
      </c>
      <c r="E73" s="8">
        <v>790</v>
      </c>
      <c r="F73" s="7">
        <f t="shared" si="0"/>
        <v>45.142857142857146</v>
      </c>
      <c r="G73" s="237">
        <f t="shared" si="1"/>
        <v>790</v>
      </c>
      <c r="H73" s="235">
        <f t="shared" si="2"/>
        <v>6.583333333333333</v>
      </c>
      <c r="I73" s="95">
        <f t="shared" si="3"/>
        <v>45.142857142857146</v>
      </c>
      <c r="J73" s="200">
        <f t="shared" si="4"/>
        <v>6.583333333333333</v>
      </c>
      <c r="K73" s="12">
        <f t="shared" si="7"/>
        <v>3309648.7576428573</v>
      </c>
    </row>
    <row r="74" spans="1:11" x14ac:dyDescent="0.25">
      <c r="A74" s="41" t="s">
        <v>63</v>
      </c>
      <c r="B74" s="219">
        <v>10099.5</v>
      </c>
      <c r="C74" s="236">
        <v>6589.44</v>
      </c>
      <c r="D74" s="14">
        <f t="shared" si="6"/>
        <v>0.65245210158918754</v>
      </c>
      <c r="E74" s="8">
        <v>1807</v>
      </c>
      <c r="F74" s="7">
        <f t="shared" si="0"/>
        <v>103.25714285714285</v>
      </c>
      <c r="G74" s="237">
        <f t="shared" si="1"/>
        <v>1807</v>
      </c>
      <c r="H74" s="235">
        <f t="shared" si="2"/>
        <v>15.058333333333334</v>
      </c>
      <c r="I74" s="95">
        <f t="shared" si="3"/>
        <v>103.25714285714285</v>
      </c>
      <c r="J74" s="200">
        <f t="shared" si="4"/>
        <v>15.058333333333334</v>
      </c>
      <c r="K74" s="12">
        <f t="shared" si="7"/>
        <v>7570297.8545071427</v>
      </c>
    </row>
    <row r="75" spans="1:11" x14ac:dyDescent="0.25">
      <c r="A75" s="41" t="s">
        <v>64</v>
      </c>
      <c r="B75" s="219">
        <v>2483.25</v>
      </c>
      <c r="C75" s="236">
        <v>2250.21</v>
      </c>
      <c r="D75" s="14">
        <f t="shared" si="6"/>
        <v>0.9061552401087285</v>
      </c>
      <c r="E75" s="8">
        <v>360</v>
      </c>
      <c r="F75" s="7">
        <f t="shared" si="0"/>
        <v>20.571428571428573</v>
      </c>
      <c r="G75" s="237">
        <f t="shared" si="1"/>
        <v>360</v>
      </c>
      <c r="H75" s="235">
        <f t="shared" si="2"/>
        <v>3</v>
      </c>
      <c r="I75" s="95">
        <f t="shared" si="3"/>
        <v>20.571428571428573</v>
      </c>
      <c r="J75" s="200">
        <f t="shared" si="4"/>
        <v>3</v>
      </c>
      <c r="K75" s="12">
        <f t="shared" si="7"/>
        <v>1508194.3705714287</v>
      </c>
    </row>
    <row r="76" spans="1:11" x14ac:dyDescent="0.25">
      <c r="A76" s="41" t="s">
        <v>65</v>
      </c>
      <c r="B76" s="219">
        <v>3390.2</v>
      </c>
      <c r="C76" s="236">
        <v>2686.84</v>
      </c>
      <c r="D76" s="14">
        <f t="shared" si="6"/>
        <v>0.7925314140758658</v>
      </c>
      <c r="E76" s="8">
        <v>414</v>
      </c>
      <c r="F76" s="7">
        <f t="shared" si="0"/>
        <v>23.657142857142858</v>
      </c>
      <c r="G76" s="237">
        <f t="shared" si="1"/>
        <v>414</v>
      </c>
      <c r="H76" s="235">
        <f t="shared" si="2"/>
        <v>3.45</v>
      </c>
      <c r="I76" s="95">
        <f t="shared" si="3"/>
        <v>23.657142857142858</v>
      </c>
      <c r="J76" s="200">
        <f t="shared" si="4"/>
        <v>3.45</v>
      </c>
      <c r="K76" s="12">
        <f t="shared" si="7"/>
        <v>1734423.5261571428</v>
      </c>
    </row>
    <row r="77" spans="1:11" x14ac:dyDescent="0.25">
      <c r="A77" s="41" t="s">
        <v>66</v>
      </c>
      <c r="B77" s="219">
        <v>6118.74</v>
      </c>
      <c r="C77" s="236">
        <v>5379.45</v>
      </c>
      <c r="D77" s="14">
        <f t="shared" si="6"/>
        <v>0.87917610488433895</v>
      </c>
      <c r="E77" s="8">
        <v>734</v>
      </c>
      <c r="F77" s="7">
        <f t="shared" si="0"/>
        <v>41.942857142857143</v>
      </c>
      <c r="G77" s="237">
        <f t="shared" si="1"/>
        <v>734</v>
      </c>
      <c r="H77" s="235">
        <f t="shared" si="2"/>
        <v>6.1166666666666663</v>
      </c>
      <c r="I77" s="95">
        <f t="shared" si="3"/>
        <v>41.942857142857143</v>
      </c>
      <c r="J77" s="200">
        <f t="shared" si="4"/>
        <v>6.1166666666666663</v>
      </c>
      <c r="K77" s="12">
        <f t="shared" si="7"/>
        <v>3075040.7444428569</v>
      </c>
    </row>
    <row r="78" spans="1:11" x14ac:dyDescent="0.25">
      <c r="A78" s="41" t="s">
        <v>67</v>
      </c>
      <c r="B78" s="219">
        <v>15618.17</v>
      </c>
      <c r="C78" s="236">
        <v>9318.2800000000007</v>
      </c>
      <c r="D78" s="14">
        <f t="shared" si="6"/>
        <v>0.59663071921998545</v>
      </c>
      <c r="E78" s="8">
        <v>1947</v>
      </c>
      <c r="F78" s="7">
        <f t="shared" si="0"/>
        <v>111.25714285714285</v>
      </c>
      <c r="G78" s="237">
        <f t="shared" si="1"/>
        <v>1947</v>
      </c>
      <c r="H78" s="235">
        <f t="shared" si="2"/>
        <v>16.225000000000001</v>
      </c>
      <c r="I78" s="95">
        <f t="shared" si="3"/>
        <v>111.25714285714285</v>
      </c>
      <c r="J78" s="200">
        <f t="shared" si="4"/>
        <v>16.225000000000001</v>
      </c>
      <c r="K78" s="12">
        <f t="shared" si="7"/>
        <v>8156817.8875071425</v>
      </c>
    </row>
    <row r="79" spans="1:11" x14ac:dyDescent="0.25">
      <c r="A79" s="41" t="s">
        <v>68</v>
      </c>
      <c r="B79" s="219">
        <v>22502.1</v>
      </c>
      <c r="C79" s="236">
        <v>17146.64</v>
      </c>
      <c r="D79" s="14">
        <f t="shared" si="6"/>
        <v>0.76200176872380798</v>
      </c>
      <c r="E79" s="8">
        <v>3131</v>
      </c>
      <c r="F79" s="7">
        <f t="shared" si="0"/>
        <v>178.91428571428571</v>
      </c>
      <c r="G79" s="237">
        <f t="shared" si="1"/>
        <v>3131</v>
      </c>
      <c r="H79" s="235">
        <f t="shared" si="2"/>
        <v>26.091666666666665</v>
      </c>
      <c r="I79" s="95">
        <f t="shared" si="3"/>
        <v>178.91428571428571</v>
      </c>
      <c r="J79" s="200">
        <f t="shared" si="4"/>
        <v>26.091666666666665</v>
      </c>
      <c r="K79" s="12">
        <f t="shared" si="7"/>
        <v>13117101.595164284</v>
      </c>
    </row>
    <row r="80" spans="1:11" x14ac:dyDescent="0.25">
      <c r="A80" s="41" t="s">
        <v>69</v>
      </c>
      <c r="B80" s="219">
        <v>27586.57</v>
      </c>
      <c r="C80" s="236">
        <v>15039.74</v>
      </c>
      <c r="D80" s="14">
        <f t="shared" ref="D80:D95" si="8">C80/B80</f>
        <v>0.54518339902351032</v>
      </c>
      <c r="E80" s="8">
        <v>3392</v>
      </c>
      <c r="F80" s="7">
        <f t="shared" ref="F80:F95" si="9">(E80/$H$4)</f>
        <v>193.82857142857142</v>
      </c>
      <c r="G80" s="237">
        <f t="shared" ref="G80:G96" si="10">E80</f>
        <v>3392</v>
      </c>
      <c r="H80" s="235">
        <f t="shared" ref="H80:H95" si="11">G80/$H$7</f>
        <v>28.266666666666666</v>
      </c>
      <c r="I80" s="95">
        <f t="shared" ref="I80:I95" si="12">F80</f>
        <v>193.82857142857142</v>
      </c>
      <c r="J80" s="200">
        <f t="shared" ref="J80:J95" si="13">H80</f>
        <v>28.266666666666666</v>
      </c>
      <c r="K80" s="12">
        <f t="shared" ref="K80:K95" si="14">(I80+J80)*$B$7</f>
        <v>14210542.51382857</v>
      </c>
    </row>
    <row r="81" spans="1:12" x14ac:dyDescent="0.25">
      <c r="A81" s="41" t="s">
        <v>70</v>
      </c>
      <c r="B81" s="219">
        <v>2197.3200000000002</v>
      </c>
      <c r="C81" s="236">
        <v>1682.59</v>
      </c>
      <c r="D81" s="14">
        <f t="shared" si="8"/>
        <v>0.76574645477217695</v>
      </c>
      <c r="E81" s="8">
        <v>369</v>
      </c>
      <c r="F81" s="7">
        <f t="shared" si="9"/>
        <v>21.085714285714285</v>
      </c>
      <c r="G81" s="237">
        <f t="shared" si="10"/>
        <v>369</v>
      </c>
      <c r="H81" s="235">
        <f t="shared" si="11"/>
        <v>3.0750000000000002</v>
      </c>
      <c r="I81" s="95">
        <f t="shared" si="12"/>
        <v>21.085714285714285</v>
      </c>
      <c r="J81" s="200">
        <f t="shared" si="13"/>
        <v>3.0750000000000002</v>
      </c>
      <c r="K81" s="12">
        <f t="shared" si="14"/>
        <v>1545899.2298357142</v>
      </c>
    </row>
    <row r="82" spans="1:12" x14ac:dyDescent="0.25">
      <c r="A82" s="41" t="s">
        <v>71</v>
      </c>
      <c r="B82" s="219">
        <v>4904.8</v>
      </c>
      <c r="C82" s="236">
        <v>2789.85</v>
      </c>
      <c r="D82" s="14">
        <f t="shared" si="8"/>
        <v>0.56879995106834114</v>
      </c>
      <c r="E82" s="8">
        <v>525</v>
      </c>
      <c r="F82" s="7">
        <f t="shared" si="9"/>
        <v>30</v>
      </c>
      <c r="G82" s="237">
        <f t="shared" si="10"/>
        <v>525</v>
      </c>
      <c r="H82" s="235">
        <f t="shared" si="11"/>
        <v>4.375</v>
      </c>
      <c r="I82" s="95">
        <f t="shared" si="12"/>
        <v>30</v>
      </c>
      <c r="J82" s="200">
        <f t="shared" si="13"/>
        <v>4.375</v>
      </c>
      <c r="K82" s="12">
        <f t="shared" si="14"/>
        <v>2199450.1237499998</v>
      </c>
    </row>
    <row r="83" spans="1:12" x14ac:dyDescent="0.25">
      <c r="A83" s="41" t="s">
        <v>72</v>
      </c>
      <c r="B83" s="219">
        <v>9921.15</v>
      </c>
      <c r="C83" s="236">
        <v>5800.34</v>
      </c>
      <c r="D83" s="14">
        <f t="shared" si="8"/>
        <v>0.58464391728781451</v>
      </c>
      <c r="E83" s="8">
        <v>1242</v>
      </c>
      <c r="F83" s="7">
        <f t="shared" si="9"/>
        <v>70.971428571428575</v>
      </c>
      <c r="G83" s="237">
        <f t="shared" si="10"/>
        <v>1242</v>
      </c>
      <c r="H83" s="235">
        <f t="shared" si="11"/>
        <v>10.35</v>
      </c>
      <c r="I83" s="95">
        <f t="shared" si="12"/>
        <v>70.971428571428575</v>
      </c>
      <c r="J83" s="200">
        <f t="shared" si="13"/>
        <v>10.35</v>
      </c>
      <c r="K83" s="12">
        <f t="shared" si="14"/>
        <v>5203270.5784714278</v>
      </c>
    </row>
    <row r="84" spans="1:12" x14ac:dyDescent="0.25">
      <c r="A84" s="41" t="s">
        <v>73</v>
      </c>
      <c r="B84" s="219">
        <v>2737.16</v>
      </c>
      <c r="C84" s="236">
        <v>1943.24</v>
      </c>
      <c r="D84" s="14">
        <f t="shared" si="8"/>
        <v>0.70994753686302592</v>
      </c>
      <c r="E84" s="8">
        <v>419</v>
      </c>
      <c r="F84" s="7">
        <f t="shared" si="9"/>
        <v>23.942857142857143</v>
      </c>
      <c r="G84" s="237">
        <f t="shared" si="10"/>
        <v>419</v>
      </c>
      <c r="H84" s="235">
        <f t="shared" si="11"/>
        <v>3.4916666666666667</v>
      </c>
      <c r="I84" s="95">
        <f t="shared" si="12"/>
        <v>23.942857142857143</v>
      </c>
      <c r="J84" s="200">
        <f t="shared" si="13"/>
        <v>3.4916666666666667</v>
      </c>
      <c r="K84" s="12">
        <f t="shared" si="14"/>
        <v>1755370.670192857</v>
      </c>
    </row>
    <row r="85" spans="1:12" x14ac:dyDescent="0.25">
      <c r="A85" s="41" t="s">
        <v>74</v>
      </c>
      <c r="B85" s="219">
        <v>2669.43</v>
      </c>
      <c r="C85" s="236">
        <v>1792.49</v>
      </c>
      <c r="D85" s="14">
        <f t="shared" si="8"/>
        <v>0.6714879206422345</v>
      </c>
      <c r="E85" s="8">
        <v>369</v>
      </c>
      <c r="F85" s="7">
        <f t="shared" si="9"/>
        <v>21.085714285714285</v>
      </c>
      <c r="G85" s="237">
        <f t="shared" si="10"/>
        <v>369</v>
      </c>
      <c r="H85" s="235">
        <f t="shared" si="11"/>
        <v>3.0750000000000002</v>
      </c>
      <c r="I85" s="95">
        <f t="shared" si="12"/>
        <v>21.085714285714285</v>
      </c>
      <c r="J85" s="200">
        <f t="shared" si="13"/>
        <v>3.0750000000000002</v>
      </c>
      <c r="K85" s="12">
        <f t="shared" si="14"/>
        <v>1545899.2298357142</v>
      </c>
    </row>
    <row r="86" spans="1:12" x14ac:dyDescent="0.25">
      <c r="A86" s="41" t="s">
        <v>75</v>
      </c>
      <c r="B86" s="219">
        <v>8533.4500000000007</v>
      </c>
      <c r="C86" s="236">
        <v>4605.55</v>
      </c>
      <c r="D86" s="14">
        <f t="shared" si="8"/>
        <v>0.5397055118387053</v>
      </c>
      <c r="E86" s="8">
        <v>1139</v>
      </c>
      <c r="F86" s="7">
        <f t="shared" si="9"/>
        <v>65.085714285714289</v>
      </c>
      <c r="G86" s="237">
        <f t="shared" si="10"/>
        <v>1139</v>
      </c>
      <c r="H86" s="235">
        <f t="shared" si="11"/>
        <v>9.4916666666666671</v>
      </c>
      <c r="I86" s="95">
        <f t="shared" si="12"/>
        <v>65.085714285714289</v>
      </c>
      <c r="J86" s="200">
        <f t="shared" si="13"/>
        <v>9.4916666666666671</v>
      </c>
      <c r="K86" s="12">
        <f t="shared" si="14"/>
        <v>4771759.4113357151</v>
      </c>
    </row>
    <row r="87" spans="1:12" x14ac:dyDescent="0.25">
      <c r="A87" s="41" t="s">
        <v>76</v>
      </c>
      <c r="B87" s="219">
        <v>10966.62</v>
      </c>
      <c r="C87" s="236">
        <v>7289.33</v>
      </c>
      <c r="D87" s="14">
        <f t="shared" si="8"/>
        <v>0.6646833755523579</v>
      </c>
      <c r="E87" s="8">
        <v>1601</v>
      </c>
      <c r="F87" s="7">
        <f t="shared" si="9"/>
        <v>91.48571428571428</v>
      </c>
      <c r="G87" s="237">
        <f t="shared" si="10"/>
        <v>1601</v>
      </c>
      <c r="H87" s="235">
        <f t="shared" si="11"/>
        <v>13.341666666666667</v>
      </c>
      <c r="I87" s="95">
        <f t="shared" si="12"/>
        <v>91.48571428571428</v>
      </c>
      <c r="J87" s="200">
        <f t="shared" si="13"/>
        <v>13.341666666666667</v>
      </c>
      <c r="K87" s="12">
        <f t="shared" si="14"/>
        <v>6707275.5202357136</v>
      </c>
    </row>
    <row r="88" spans="1:12" x14ac:dyDescent="0.25">
      <c r="A88" s="41" t="s">
        <v>77</v>
      </c>
      <c r="B88" s="219">
        <v>7107.44</v>
      </c>
      <c r="C88" s="236">
        <v>5120.8100000000004</v>
      </c>
      <c r="D88" s="14">
        <f t="shared" si="8"/>
        <v>0.72048585707371438</v>
      </c>
      <c r="E88" s="8">
        <v>812</v>
      </c>
      <c r="F88" s="7">
        <f t="shared" si="9"/>
        <v>46.4</v>
      </c>
      <c r="G88" s="237">
        <f t="shared" si="10"/>
        <v>812</v>
      </c>
      <c r="H88" s="235">
        <f t="shared" si="11"/>
        <v>6.7666666666666666</v>
      </c>
      <c r="I88" s="95">
        <f t="shared" si="12"/>
        <v>46.4</v>
      </c>
      <c r="J88" s="200">
        <f t="shared" si="13"/>
        <v>6.7666666666666666</v>
      </c>
      <c r="K88" s="12">
        <f t="shared" si="14"/>
        <v>3401816.1913999994</v>
      </c>
    </row>
    <row r="89" spans="1:12" x14ac:dyDescent="0.25">
      <c r="A89" s="41" t="s">
        <v>78</v>
      </c>
      <c r="B89" s="219">
        <v>15888.61</v>
      </c>
      <c r="C89" s="236">
        <v>11802.21</v>
      </c>
      <c r="D89" s="14">
        <f t="shared" si="8"/>
        <v>0.74280947169072675</v>
      </c>
      <c r="E89" s="8">
        <v>2348</v>
      </c>
      <c r="F89" s="7">
        <f t="shared" si="9"/>
        <v>134.17142857142858</v>
      </c>
      <c r="G89" s="237">
        <f t="shared" si="10"/>
        <v>2348</v>
      </c>
      <c r="H89" s="235">
        <f t="shared" si="11"/>
        <v>19.566666666666666</v>
      </c>
      <c r="I89" s="95">
        <f t="shared" si="12"/>
        <v>134.17142857142858</v>
      </c>
      <c r="J89" s="200">
        <f t="shared" si="13"/>
        <v>19.566666666666666</v>
      </c>
      <c r="K89" s="12">
        <f t="shared" si="14"/>
        <v>9836778.8391714282</v>
      </c>
    </row>
    <row r="90" spans="1:12" x14ac:dyDescent="0.25">
      <c r="A90" s="41" t="s">
        <v>79</v>
      </c>
      <c r="B90" s="219">
        <v>3787.02</v>
      </c>
      <c r="C90" s="236">
        <v>2926.7</v>
      </c>
      <c r="D90" s="14">
        <f t="shared" si="8"/>
        <v>0.7728240146606038</v>
      </c>
      <c r="E90" s="8">
        <v>561</v>
      </c>
      <c r="F90" s="7">
        <f t="shared" si="9"/>
        <v>32.057142857142857</v>
      </c>
      <c r="G90" s="237">
        <f t="shared" si="10"/>
        <v>561</v>
      </c>
      <c r="H90" s="235">
        <f t="shared" si="11"/>
        <v>4.6749999999999998</v>
      </c>
      <c r="I90" s="95">
        <f t="shared" si="12"/>
        <v>32.057142857142857</v>
      </c>
      <c r="J90" s="200">
        <f t="shared" si="13"/>
        <v>4.6749999999999998</v>
      </c>
      <c r="K90" s="12">
        <f t="shared" si="14"/>
        <v>2350269.5608071424</v>
      </c>
    </row>
    <row r="91" spans="1:12" x14ac:dyDescent="0.25">
      <c r="A91" s="41" t="s">
        <v>80</v>
      </c>
      <c r="B91" s="219">
        <v>3426.1</v>
      </c>
      <c r="C91" s="236">
        <v>3131.81</v>
      </c>
      <c r="D91" s="14">
        <f t="shared" si="8"/>
        <v>0.91410349960596593</v>
      </c>
      <c r="E91" s="8">
        <v>568</v>
      </c>
      <c r="F91" s="7">
        <f t="shared" si="9"/>
        <v>32.457142857142856</v>
      </c>
      <c r="G91" s="237">
        <f t="shared" si="10"/>
        <v>568</v>
      </c>
      <c r="H91" s="235">
        <f t="shared" si="11"/>
        <v>4.7333333333333334</v>
      </c>
      <c r="I91" s="95">
        <f t="shared" si="12"/>
        <v>32.457142857142856</v>
      </c>
      <c r="J91" s="200">
        <f t="shared" si="13"/>
        <v>4.7333333333333334</v>
      </c>
      <c r="K91" s="12">
        <f t="shared" si="14"/>
        <v>2379595.5624571429</v>
      </c>
    </row>
    <row r="92" spans="1:12" x14ac:dyDescent="0.25">
      <c r="A92" s="41" t="s">
        <v>81</v>
      </c>
      <c r="B92" s="219">
        <v>4956.4399999999996</v>
      </c>
      <c r="C92" s="236">
        <v>3366.99</v>
      </c>
      <c r="D92" s="14">
        <f t="shared" si="8"/>
        <v>0.67931620275843152</v>
      </c>
      <c r="E92" s="8">
        <v>859</v>
      </c>
      <c r="F92" s="7">
        <f t="shared" si="9"/>
        <v>49.085714285714289</v>
      </c>
      <c r="G92" s="237">
        <f t="shared" si="10"/>
        <v>859</v>
      </c>
      <c r="H92" s="235">
        <f t="shared" si="11"/>
        <v>7.1583333333333332</v>
      </c>
      <c r="I92" s="95">
        <f t="shared" si="12"/>
        <v>49.085714285714289</v>
      </c>
      <c r="J92" s="200">
        <f t="shared" si="13"/>
        <v>7.1583333333333332</v>
      </c>
      <c r="K92" s="12">
        <f t="shared" si="14"/>
        <v>3598719.3453357141</v>
      </c>
    </row>
    <row r="93" spans="1:12" x14ac:dyDescent="0.25">
      <c r="A93" s="41" t="s">
        <v>82</v>
      </c>
      <c r="B93" s="219">
        <v>7694.47</v>
      </c>
      <c r="C93" s="236">
        <v>2768.93</v>
      </c>
      <c r="D93" s="14">
        <f t="shared" si="8"/>
        <v>0.35985974342612287</v>
      </c>
      <c r="E93" s="8">
        <v>658</v>
      </c>
      <c r="F93" s="7">
        <f t="shared" si="9"/>
        <v>37.6</v>
      </c>
      <c r="G93" s="237">
        <f t="shared" si="10"/>
        <v>658</v>
      </c>
      <c r="H93" s="235">
        <f t="shared" si="11"/>
        <v>5.4833333333333334</v>
      </c>
      <c r="I93" s="95">
        <f t="shared" si="12"/>
        <v>37.6</v>
      </c>
      <c r="J93" s="200">
        <f t="shared" si="13"/>
        <v>5.4833333333333334</v>
      </c>
      <c r="K93" s="12">
        <f t="shared" si="14"/>
        <v>2756644.1551000001</v>
      </c>
    </row>
    <row r="94" spans="1:12" x14ac:dyDescent="0.25">
      <c r="A94" s="41" t="s">
        <v>83</v>
      </c>
      <c r="B94" s="219">
        <v>17132.009999999998</v>
      </c>
      <c r="C94" s="236">
        <v>10493.05</v>
      </c>
      <c r="D94" s="14">
        <f t="shared" si="8"/>
        <v>0.61248213140197794</v>
      </c>
      <c r="E94" s="8">
        <v>2420</v>
      </c>
      <c r="F94" s="7">
        <f t="shared" si="9"/>
        <v>138.28571428571428</v>
      </c>
      <c r="G94" s="237">
        <f t="shared" si="10"/>
        <v>2420</v>
      </c>
      <c r="H94" s="235">
        <f t="shared" si="11"/>
        <v>20.166666666666668</v>
      </c>
      <c r="I94" s="95">
        <f t="shared" si="12"/>
        <v>138.28571428571428</v>
      </c>
      <c r="J94" s="200">
        <f t="shared" si="13"/>
        <v>20.166666666666668</v>
      </c>
      <c r="K94" s="12">
        <f t="shared" si="14"/>
        <v>10138417.713285713</v>
      </c>
    </row>
    <row r="95" spans="1:12" x14ac:dyDescent="0.25">
      <c r="A95" s="41" t="s">
        <v>84</v>
      </c>
      <c r="B95" s="219">
        <v>15937.31</v>
      </c>
      <c r="C95" s="236">
        <v>3335.44</v>
      </c>
      <c r="D95" s="14">
        <f t="shared" si="8"/>
        <v>0.2092850048094691</v>
      </c>
      <c r="E95" s="8">
        <v>1363</v>
      </c>
      <c r="F95" s="7">
        <f t="shared" si="9"/>
        <v>77.885714285714286</v>
      </c>
      <c r="G95" s="237">
        <f t="shared" si="10"/>
        <v>1363</v>
      </c>
      <c r="H95" s="235">
        <f t="shared" si="11"/>
        <v>11.358333333333333</v>
      </c>
      <c r="I95" s="95">
        <f t="shared" si="12"/>
        <v>77.885714285714286</v>
      </c>
      <c r="J95" s="200">
        <f t="shared" si="13"/>
        <v>11.358333333333333</v>
      </c>
      <c r="K95" s="12">
        <f t="shared" si="14"/>
        <v>5710191.4641357139</v>
      </c>
    </row>
    <row r="96" spans="1:12" s="241" customFormat="1" ht="15.75" thickBot="1" x14ac:dyDescent="0.3">
      <c r="A96" s="687" t="s">
        <v>312</v>
      </c>
      <c r="B96" s="223">
        <v>721122.25</v>
      </c>
      <c r="C96" s="238">
        <v>446194.4</v>
      </c>
      <c r="D96" s="17">
        <f>C96/B96</f>
        <v>0.61875001083380798</v>
      </c>
      <c r="E96" s="18">
        <f>SUM(E15:E95)</f>
        <v>93173</v>
      </c>
      <c r="F96" s="19">
        <f>SUM(F15:F95)</f>
        <v>5324.1714285714288</v>
      </c>
      <c r="G96" s="239">
        <f t="shared" si="10"/>
        <v>93173</v>
      </c>
      <c r="H96" s="240">
        <f>ROUNDUP((G96/$H$7),0)</f>
        <v>777</v>
      </c>
      <c r="I96" s="29">
        <f>SUM(I15:I95)</f>
        <v>5324.1714285714288</v>
      </c>
      <c r="J96" s="20">
        <f>SUM(J15:J95)</f>
        <v>776.44166666666672</v>
      </c>
      <c r="K96" s="21">
        <f>SUM(K15:K95)</f>
        <v>390341650.24792135</v>
      </c>
      <c r="L96" s="1"/>
    </row>
    <row r="97" spans="1:12" x14ac:dyDescent="0.25">
      <c r="K97" s="230"/>
    </row>
    <row r="98" spans="1:12" x14ac:dyDescent="0.25">
      <c r="A98" s="22"/>
      <c r="G98" s="294"/>
      <c r="K98" s="348"/>
    </row>
    <row r="99" spans="1:12" x14ac:dyDescent="0.25">
      <c r="K99" s="255"/>
      <c r="L99" s="254"/>
    </row>
    <row r="100" spans="1:12" x14ac:dyDescent="0.25">
      <c r="K100" s="254"/>
      <c r="L100" s="254"/>
    </row>
  </sheetData>
  <mergeCells count="20">
    <mergeCell ref="A12:A13"/>
    <mergeCell ref="B12:B13"/>
    <mergeCell ref="C12:C13"/>
    <mergeCell ref="D12:D13"/>
    <mergeCell ref="E12:E13"/>
    <mergeCell ref="K12:K13"/>
    <mergeCell ref="G12:G13"/>
    <mergeCell ref="H12:H13"/>
    <mergeCell ref="E7:G7"/>
    <mergeCell ref="J12:J13"/>
    <mergeCell ref="G11:H11"/>
    <mergeCell ref="I12:I13"/>
    <mergeCell ref="I11:K11"/>
    <mergeCell ref="B10:K10"/>
    <mergeCell ref="E6:H6"/>
    <mergeCell ref="F12:F13"/>
    <mergeCell ref="B11:D11"/>
    <mergeCell ref="E11:F11"/>
    <mergeCell ref="E3:H3"/>
    <mergeCell ref="E4:G4"/>
  </mergeCells>
  <conditionalFormatting sqref="P98:P1048576 J15:J95">
    <cfRule type="cellIs" dxfId="4" priority="4" operator="lessThan">
      <formula>0</formula>
    </cfRule>
  </conditionalFormatting>
  <conditionalFormatting sqref="K12">
    <cfRule type="cellIs" dxfId="3" priority="2" operator="lessThan">
      <formula>0</formula>
    </cfRule>
  </conditionalFormatting>
  <printOptions horizontalCentered="1"/>
  <pageMargins left="0.5" right="0.5" top="0.5" bottom="0.5" header="0.3" footer="0.3"/>
  <pageSetup scale="64" fitToHeight="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U100"/>
  <sheetViews>
    <sheetView zoomScaleNormal="100" workbookViewId="0">
      <selection activeCell="K7" sqref="K7"/>
    </sheetView>
  </sheetViews>
  <sheetFormatPr defaultRowHeight="15" x14ac:dyDescent="0.25"/>
  <cols>
    <col min="1" max="1" width="20.42578125" style="1" customWidth="1"/>
    <col min="2" max="2" width="12.42578125" style="1" customWidth="1"/>
    <col min="3" max="3" width="10.42578125" style="230" customWidth="1"/>
    <col min="4" max="4" width="12.42578125" style="1" customWidth="1"/>
    <col min="5" max="5" width="10.5703125" style="230" customWidth="1"/>
    <col min="6" max="21" width="10.5703125" style="1" customWidth="1"/>
    <col min="22" max="22" width="12.28515625" style="1" customWidth="1"/>
    <col min="23" max="23" width="12.7109375" style="1" bestFit="1" customWidth="1"/>
    <col min="24" max="24" width="13.85546875" style="1" bestFit="1" customWidth="1"/>
    <col min="25" max="25" width="12.7109375" style="1" bestFit="1" customWidth="1"/>
    <col min="26" max="26" width="9.7109375" style="1" bestFit="1" customWidth="1"/>
    <col min="27" max="27" width="7" style="1" bestFit="1" customWidth="1"/>
    <col min="28" max="16384" width="9.140625" style="1"/>
  </cols>
  <sheetData>
    <row r="1" spans="1:21" ht="23.25" x14ac:dyDescent="0.35">
      <c r="A1" s="229" t="s">
        <v>630</v>
      </c>
      <c r="Q1" s="229"/>
    </row>
    <row r="2" spans="1:21" ht="15.75" customHeight="1" thickBot="1" x14ac:dyDescent="0.3">
      <c r="A2" s="658"/>
      <c r="B2" s="353"/>
      <c r="C2" s="653"/>
      <c r="D2" s="353"/>
      <c r="E2" s="653"/>
      <c r="F2" s="353"/>
      <c r="G2" s="353"/>
    </row>
    <row r="3" spans="1:21" x14ac:dyDescent="0.25">
      <c r="A3" s="640" t="s">
        <v>94</v>
      </c>
      <c r="B3" s="352"/>
      <c r="C3" s="353"/>
      <c r="D3" s="668" t="s">
        <v>104</v>
      </c>
      <c r="E3" s="659"/>
      <c r="F3" s="659"/>
      <c r="G3" s="352"/>
    </row>
    <row r="4" spans="1:21" ht="25.5" x14ac:dyDescent="0.25">
      <c r="A4" s="354" t="s">
        <v>163</v>
      </c>
      <c r="B4" s="37">
        <f>Amounts!B4</f>
        <v>44586</v>
      </c>
      <c r="C4" s="353"/>
      <c r="D4" s="211" t="s">
        <v>570</v>
      </c>
      <c r="E4" s="660"/>
      <c r="F4" s="35"/>
      <c r="G4" s="661" t="str">
        <f>Amounts!E23</f>
        <v>N/A</v>
      </c>
    </row>
    <row r="5" spans="1:21" x14ac:dyDescent="0.25">
      <c r="A5" s="354" t="s">
        <v>138</v>
      </c>
      <c r="B5" s="37">
        <f>B4*C9</f>
        <v>12600.0036</v>
      </c>
      <c r="C5" s="353"/>
      <c r="D5" s="355" t="s">
        <v>128</v>
      </c>
      <c r="E5" s="662"/>
      <c r="F5" s="662"/>
      <c r="G5" s="661" t="str">
        <f>Amounts!E24</f>
        <v>N/A</v>
      </c>
    </row>
    <row r="6" spans="1:21" x14ac:dyDescent="0.25">
      <c r="A6" s="355" t="s">
        <v>98</v>
      </c>
      <c r="B6" s="37">
        <f>Amounts!B6</f>
        <v>6798</v>
      </c>
      <c r="C6" s="353"/>
      <c r="D6" s="355" t="s">
        <v>177</v>
      </c>
      <c r="E6" s="662"/>
      <c r="F6" s="662"/>
      <c r="G6" s="661" t="str">
        <f>Amounts!E25</f>
        <v>N/A</v>
      </c>
    </row>
    <row r="7" spans="1:21" ht="15.75" thickBot="1" x14ac:dyDescent="0.3">
      <c r="A7" s="644" t="s">
        <v>96</v>
      </c>
      <c r="B7" s="645">
        <f>SUM(B4:B6)</f>
        <v>63984.003599999996</v>
      </c>
      <c r="C7" s="353"/>
      <c r="D7" s="355" t="s">
        <v>135</v>
      </c>
      <c r="E7" s="662"/>
      <c r="F7" s="662"/>
      <c r="G7" s="661" t="str">
        <f>Amounts!E26</f>
        <v>N/A</v>
      </c>
    </row>
    <row r="8" spans="1:21" ht="15.75" thickBot="1" x14ac:dyDescent="0.3">
      <c r="A8" s="353"/>
      <c r="B8" s="353"/>
      <c r="C8" s="353"/>
      <c r="D8" s="356" t="s">
        <v>136</v>
      </c>
      <c r="E8" s="663"/>
      <c r="F8" s="663"/>
      <c r="G8" s="664" t="str">
        <f>Amounts!E27</f>
        <v>N/A</v>
      </c>
      <c r="I8" s="32"/>
      <c r="J8" s="32"/>
      <c r="K8" s="32"/>
    </row>
    <row r="9" spans="1:21" ht="15.75" customHeight="1" thickBot="1" x14ac:dyDescent="0.3">
      <c r="A9" s="648" t="s">
        <v>137</v>
      </c>
      <c r="B9" s="649"/>
      <c r="C9" s="231">
        <f>Amounts!B9</f>
        <v>0.28260000000000002</v>
      </c>
      <c r="D9" s="353"/>
      <c r="E9" s="653"/>
      <c r="F9" s="353"/>
      <c r="G9" s="353"/>
    </row>
    <row r="10" spans="1:21" ht="15.75" thickBot="1" x14ac:dyDescent="0.3">
      <c r="B10" s="839" t="s">
        <v>811</v>
      </c>
      <c r="C10" s="840"/>
      <c r="D10" s="840"/>
      <c r="E10" s="840"/>
      <c r="F10" s="840"/>
      <c r="G10" s="840"/>
      <c r="H10" s="840"/>
      <c r="I10" s="840"/>
      <c r="J10" s="840"/>
      <c r="K10" s="840"/>
      <c r="L10" s="840"/>
      <c r="M10" s="840"/>
      <c r="N10" s="840"/>
      <c r="O10" s="840"/>
      <c r="P10" s="840"/>
      <c r="Q10" s="840"/>
      <c r="R10" s="840"/>
      <c r="S10" s="840"/>
      <c r="T10" s="840"/>
      <c r="U10" s="841"/>
    </row>
    <row r="11" spans="1:21" ht="29.25" customHeight="1" thickBot="1" x14ac:dyDescent="0.3">
      <c r="B11" s="833" t="s">
        <v>93</v>
      </c>
      <c r="C11" s="834"/>
      <c r="D11" s="835"/>
      <c r="E11" s="865" t="s">
        <v>569</v>
      </c>
      <c r="F11" s="866"/>
      <c r="G11" s="874"/>
      <c r="H11" s="865" t="s">
        <v>131</v>
      </c>
      <c r="I11" s="866"/>
      <c r="J11" s="874"/>
      <c r="K11" s="865" t="s">
        <v>133</v>
      </c>
      <c r="L11" s="866"/>
      <c r="M11" s="874"/>
      <c r="N11" s="865" t="s">
        <v>129</v>
      </c>
      <c r="O11" s="866"/>
      <c r="P11" s="874"/>
      <c r="Q11" s="865" t="s">
        <v>130</v>
      </c>
      <c r="R11" s="866"/>
      <c r="S11" s="874"/>
      <c r="T11" s="833" t="s">
        <v>89</v>
      </c>
      <c r="U11" s="835"/>
    </row>
    <row r="12" spans="1:21" ht="15" customHeight="1" x14ac:dyDescent="0.25">
      <c r="A12" s="848" t="s">
        <v>0</v>
      </c>
      <c r="B12" s="844" t="s">
        <v>86</v>
      </c>
      <c r="C12" s="846" t="s">
        <v>85</v>
      </c>
      <c r="D12" s="846" t="s">
        <v>92</v>
      </c>
      <c r="E12" s="844" t="s">
        <v>88</v>
      </c>
      <c r="F12" s="846" t="s">
        <v>127</v>
      </c>
      <c r="G12" s="829" t="s">
        <v>3</v>
      </c>
      <c r="H12" s="844" t="s">
        <v>88</v>
      </c>
      <c r="I12" s="846" t="s">
        <v>127</v>
      </c>
      <c r="J12" s="829" t="s">
        <v>3</v>
      </c>
      <c r="K12" s="844" t="s">
        <v>88</v>
      </c>
      <c r="L12" s="846" t="s">
        <v>127</v>
      </c>
      <c r="M12" s="829" t="s">
        <v>3</v>
      </c>
      <c r="N12" s="844" t="s">
        <v>88</v>
      </c>
      <c r="O12" s="846" t="s">
        <v>127</v>
      </c>
      <c r="P12" s="829" t="s">
        <v>3</v>
      </c>
      <c r="Q12" s="844" t="s">
        <v>88</v>
      </c>
      <c r="R12" s="846" t="s">
        <v>127</v>
      </c>
      <c r="S12" s="829" t="s">
        <v>3</v>
      </c>
      <c r="T12" s="844" t="s">
        <v>87</v>
      </c>
      <c r="U12" s="842" t="s">
        <v>105</v>
      </c>
    </row>
    <row r="13" spans="1:21" ht="44.25" customHeight="1" x14ac:dyDescent="0.25">
      <c r="A13" s="849"/>
      <c r="B13" s="845"/>
      <c r="C13" s="847"/>
      <c r="D13" s="847"/>
      <c r="E13" s="845"/>
      <c r="F13" s="847"/>
      <c r="G13" s="830"/>
      <c r="H13" s="845"/>
      <c r="I13" s="847"/>
      <c r="J13" s="830"/>
      <c r="K13" s="845"/>
      <c r="L13" s="847"/>
      <c r="M13" s="830"/>
      <c r="N13" s="845"/>
      <c r="O13" s="847"/>
      <c r="P13" s="830"/>
      <c r="Q13" s="845"/>
      <c r="R13" s="847"/>
      <c r="S13" s="830"/>
      <c r="T13" s="845"/>
      <c r="U13" s="843"/>
    </row>
    <row r="14" spans="1:21" s="241" customFormat="1" x14ac:dyDescent="0.25">
      <c r="A14" s="698" t="s">
        <v>715</v>
      </c>
      <c r="B14" s="690" t="s">
        <v>716</v>
      </c>
      <c r="C14" s="689" t="s">
        <v>717</v>
      </c>
      <c r="D14" s="689" t="s">
        <v>718</v>
      </c>
      <c r="E14" s="690" t="s">
        <v>719</v>
      </c>
      <c r="F14" s="696" t="s">
        <v>720</v>
      </c>
      <c r="G14" s="702" t="s">
        <v>721</v>
      </c>
      <c r="H14" s="690" t="s">
        <v>722</v>
      </c>
      <c r="I14" s="696" t="s">
        <v>723</v>
      </c>
      <c r="J14" s="702" t="s">
        <v>724</v>
      </c>
      <c r="K14" s="690" t="s">
        <v>725</v>
      </c>
      <c r="L14" s="696" t="s">
        <v>726</v>
      </c>
      <c r="M14" s="702" t="s">
        <v>727</v>
      </c>
      <c r="N14" s="690" t="s">
        <v>728</v>
      </c>
      <c r="O14" s="696" t="s">
        <v>729</v>
      </c>
      <c r="P14" s="694" t="s">
        <v>730</v>
      </c>
      <c r="Q14" s="690" t="s">
        <v>731</v>
      </c>
      <c r="R14" s="696" t="s">
        <v>732</v>
      </c>
      <c r="S14" s="694" t="s">
        <v>733</v>
      </c>
      <c r="T14" s="693" t="s">
        <v>734</v>
      </c>
      <c r="U14" s="695" t="s">
        <v>735</v>
      </c>
    </row>
    <row r="15" spans="1:21" x14ac:dyDescent="0.25">
      <c r="A15" s="41" t="s">
        <v>4</v>
      </c>
      <c r="B15" s="219">
        <v>2915.96</v>
      </c>
      <c r="C15" s="236">
        <v>2006.13</v>
      </c>
      <c r="D15" s="14">
        <v>0.68798268837706966</v>
      </c>
      <c r="E15" s="8"/>
      <c r="F15" s="297"/>
      <c r="G15" s="7" t="e">
        <f t="shared" ref="G15:G21" si="0">ROUNDUP((E15/$G$5),0)*F15</f>
        <v>#VALUE!</v>
      </c>
      <c r="H15" s="8"/>
      <c r="I15" s="297"/>
      <c r="J15" s="7" t="e">
        <f t="shared" ref="J15:J21" si="1">ROUNDUP((H15/$G$5),0)*I15</f>
        <v>#VALUE!</v>
      </c>
      <c r="K15" s="8"/>
      <c r="L15" s="298"/>
      <c r="M15" s="7" t="e">
        <f t="shared" ref="M15:M21" si="2">ROUNDUP((IF(K15="*",5,K15)/$G$6),0)*L15</f>
        <v>#VALUE!</v>
      </c>
      <c r="N15" s="237"/>
      <c r="O15" s="298"/>
      <c r="P15" s="5" t="e">
        <f t="shared" ref="P15:P21" si="3">ROUNDUP((IF(N15="*",5,N15)/$G$7),0)*O15</f>
        <v>#VALUE!</v>
      </c>
      <c r="Q15" s="237"/>
      <c r="R15" s="298"/>
      <c r="S15" s="5" t="e">
        <f t="shared" ref="S15:S21" si="4">ROUNDUP((IF(Q15="*",5,Q15)/$G$8),0)*R15</f>
        <v>#VALUE!</v>
      </c>
      <c r="T15" s="299"/>
      <c r="U15" s="299">
        <f>T15*$B$7</f>
        <v>0</v>
      </c>
    </row>
    <row r="16" spans="1:21" x14ac:dyDescent="0.25">
      <c r="A16" s="41" t="s">
        <v>5</v>
      </c>
      <c r="B16" s="219">
        <v>23246.81</v>
      </c>
      <c r="C16" s="236">
        <v>15253.01</v>
      </c>
      <c r="D16" s="14">
        <v>0.65613346519371907</v>
      </c>
      <c r="E16" s="8"/>
      <c r="F16" s="297"/>
      <c r="G16" s="7" t="e">
        <f t="shared" si="0"/>
        <v>#VALUE!</v>
      </c>
      <c r="H16" s="8"/>
      <c r="I16" s="297"/>
      <c r="J16" s="7" t="e">
        <f t="shared" si="1"/>
        <v>#VALUE!</v>
      </c>
      <c r="K16" s="8"/>
      <c r="L16" s="298"/>
      <c r="M16" s="7" t="e">
        <f t="shared" si="2"/>
        <v>#VALUE!</v>
      </c>
      <c r="N16" s="237"/>
      <c r="O16" s="298"/>
      <c r="P16" s="5" t="e">
        <f t="shared" si="3"/>
        <v>#VALUE!</v>
      </c>
      <c r="Q16" s="237"/>
      <c r="R16" s="298"/>
      <c r="S16" s="5" t="e">
        <f t="shared" si="4"/>
        <v>#VALUE!</v>
      </c>
      <c r="T16" s="299"/>
      <c r="U16" s="299">
        <f t="shared" ref="U16:U80" si="5">T16*$B$7</f>
        <v>0</v>
      </c>
    </row>
    <row r="17" spans="1:21" x14ac:dyDescent="0.25">
      <c r="A17" s="41" t="s">
        <v>6</v>
      </c>
      <c r="B17" s="219">
        <v>1028.55</v>
      </c>
      <c r="C17" s="236">
        <v>973.11</v>
      </c>
      <c r="D17" s="14">
        <v>0.94609887705993878</v>
      </c>
      <c r="E17" s="8"/>
      <c r="F17" s="297"/>
      <c r="G17" s="7" t="e">
        <f t="shared" si="0"/>
        <v>#VALUE!</v>
      </c>
      <c r="H17" s="8"/>
      <c r="I17" s="297"/>
      <c r="J17" s="7" t="e">
        <f t="shared" si="1"/>
        <v>#VALUE!</v>
      </c>
      <c r="K17" s="8"/>
      <c r="L17" s="298"/>
      <c r="M17" s="7" t="e">
        <f t="shared" si="2"/>
        <v>#VALUE!</v>
      </c>
      <c r="N17" s="237"/>
      <c r="O17" s="298"/>
      <c r="P17" s="5" t="e">
        <f t="shared" si="3"/>
        <v>#VALUE!</v>
      </c>
      <c r="Q17" s="237"/>
      <c r="R17" s="298"/>
      <c r="S17" s="5" t="e">
        <f t="shared" si="4"/>
        <v>#VALUE!</v>
      </c>
      <c r="T17" s="299"/>
      <c r="U17" s="299">
        <f t="shared" si="5"/>
        <v>0</v>
      </c>
    </row>
    <row r="18" spans="1:21" x14ac:dyDescent="0.25">
      <c r="A18" s="41" t="s">
        <v>7</v>
      </c>
      <c r="B18" s="219">
        <v>9875.19</v>
      </c>
      <c r="C18" s="236">
        <v>4961.09</v>
      </c>
      <c r="D18" s="14">
        <v>0.50237919472941783</v>
      </c>
      <c r="E18" s="8"/>
      <c r="F18" s="297"/>
      <c r="G18" s="7" t="e">
        <f t="shared" si="0"/>
        <v>#VALUE!</v>
      </c>
      <c r="H18" s="8"/>
      <c r="I18" s="297"/>
      <c r="J18" s="7" t="e">
        <f t="shared" si="1"/>
        <v>#VALUE!</v>
      </c>
      <c r="K18" s="8"/>
      <c r="L18" s="298"/>
      <c r="M18" s="7" t="e">
        <f t="shared" si="2"/>
        <v>#VALUE!</v>
      </c>
      <c r="N18" s="237"/>
      <c r="O18" s="298"/>
      <c r="P18" s="5" t="e">
        <f t="shared" si="3"/>
        <v>#VALUE!</v>
      </c>
      <c r="Q18" s="237"/>
      <c r="R18" s="298"/>
      <c r="S18" s="5" t="e">
        <f t="shared" si="4"/>
        <v>#VALUE!</v>
      </c>
      <c r="T18" s="299"/>
      <c r="U18" s="299">
        <f t="shared" si="5"/>
        <v>0</v>
      </c>
    </row>
    <row r="19" spans="1:21" x14ac:dyDescent="0.25">
      <c r="A19" s="41" t="s">
        <v>8</v>
      </c>
      <c r="B19" s="219">
        <v>3618.89</v>
      </c>
      <c r="C19" s="236">
        <v>2306.6999999999998</v>
      </c>
      <c r="D19" s="14">
        <v>0.63740539226116288</v>
      </c>
      <c r="E19" s="8"/>
      <c r="F19" s="297"/>
      <c r="G19" s="7" t="e">
        <f t="shared" si="0"/>
        <v>#VALUE!</v>
      </c>
      <c r="H19" s="8"/>
      <c r="I19" s="297"/>
      <c r="J19" s="7" t="e">
        <f t="shared" si="1"/>
        <v>#VALUE!</v>
      </c>
      <c r="K19" s="8"/>
      <c r="L19" s="298"/>
      <c r="M19" s="7" t="e">
        <f t="shared" si="2"/>
        <v>#VALUE!</v>
      </c>
      <c r="N19" s="237"/>
      <c r="O19" s="298"/>
      <c r="P19" s="5" t="e">
        <f t="shared" si="3"/>
        <v>#VALUE!</v>
      </c>
      <c r="Q19" s="237"/>
      <c r="R19" s="298"/>
      <c r="S19" s="5" t="e">
        <f t="shared" si="4"/>
        <v>#VALUE!</v>
      </c>
      <c r="T19" s="299"/>
      <c r="U19" s="299">
        <f t="shared" si="5"/>
        <v>0</v>
      </c>
    </row>
    <row r="20" spans="1:21" x14ac:dyDescent="0.25">
      <c r="A20" s="41" t="s">
        <v>9</v>
      </c>
      <c r="B20" s="219">
        <v>2479.0500000000002</v>
      </c>
      <c r="C20" s="236">
        <v>1811.63</v>
      </c>
      <c r="D20" s="14">
        <v>0.73077590205925658</v>
      </c>
      <c r="E20" s="300"/>
      <c r="F20" s="297"/>
      <c r="G20" s="7" t="e">
        <f t="shared" si="0"/>
        <v>#VALUE!</v>
      </c>
      <c r="H20" s="8"/>
      <c r="I20" s="297"/>
      <c r="J20" s="7" t="e">
        <f t="shared" si="1"/>
        <v>#VALUE!</v>
      </c>
      <c r="K20" s="8"/>
      <c r="L20" s="298"/>
      <c r="M20" s="7" t="e">
        <f t="shared" si="2"/>
        <v>#VALUE!</v>
      </c>
      <c r="N20" s="237"/>
      <c r="O20" s="298"/>
      <c r="P20" s="5" t="e">
        <f t="shared" si="3"/>
        <v>#VALUE!</v>
      </c>
      <c r="Q20" s="237"/>
      <c r="R20" s="298"/>
      <c r="S20" s="5" t="e">
        <f t="shared" si="4"/>
        <v>#VALUE!</v>
      </c>
      <c r="T20" s="299"/>
      <c r="U20" s="299">
        <f t="shared" si="5"/>
        <v>0</v>
      </c>
    </row>
    <row r="21" spans="1:21" x14ac:dyDescent="0.25">
      <c r="A21" s="41" t="s">
        <v>10</v>
      </c>
      <c r="B21" s="219">
        <v>2744.29</v>
      </c>
      <c r="C21" s="236">
        <v>1684.95</v>
      </c>
      <c r="D21" s="14">
        <v>0.61398394484547913</v>
      </c>
      <c r="E21" s="8"/>
      <c r="F21" s="297"/>
      <c r="G21" s="7" t="e">
        <f t="shared" si="0"/>
        <v>#VALUE!</v>
      </c>
      <c r="H21" s="8"/>
      <c r="I21" s="297"/>
      <c r="J21" s="7" t="e">
        <f t="shared" si="1"/>
        <v>#VALUE!</v>
      </c>
      <c r="K21" s="8"/>
      <c r="L21" s="298"/>
      <c r="M21" s="7" t="e">
        <f t="shared" si="2"/>
        <v>#VALUE!</v>
      </c>
      <c r="N21" s="237"/>
      <c r="O21" s="298"/>
      <c r="P21" s="5" t="e">
        <f t="shared" si="3"/>
        <v>#VALUE!</v>
      </c>
      <c r="Q21" s="237"/>
      <c r="R21" s="298"/>
      <c r="S21" s="5" t="e">
        <f t="shared" si="4"/>
        <v>#VALUE!</v>
      </c>
      <c r="T21" s="299"/>
      <c r="U21" s="299">
        <f t="shared" si="5"/>
        <v>0</v>
      </c>
    </row>
    <row r="22" spans="1:21" x14ac:dyDescent="0.25">
      <c r="A22" s="41" t="s">
        <v>11</v>
      </c>
      <c r="B22" s="219">
        <v>12671.61</v>
      </c>
      <c r="C22" s="236">
        <v>8210.69</v>
      </c>
      <c r="D22" s="14">
        <v>0.64795949370285233</v>
      </c>
      <c r="E22" s="8"/>
      <c r="F22" s="297"/>
      <c r="G22" s="7" t="e">
        <f t="shared" ref="G22" si="6">ROUNDUP((E22/$G$5),0)*F22</f>
        <v>#VALUE!</v>
      </c>
      <c r="H22" s="8"/>
      <c r="I22" s="297"/>
      <c r="J22" s="7" t="e">
        <f t="shared" ref="J22" si="7">ROUNDUP((H22/$G$5),0)*I22</f>
        <v>#VALUE!</v>
      </c>
      <c r="K22" s="8"/>
      <c r="L22" s="298"/>
      <c r="M22" s="7" t="e">
        <f t="shared" ref="M22" si="8">ROUNDUP((IF(K22="*",5,K22)/$G$6),0)*L22</f>
        <v>#VALUE!</v>
      </c>
      <c r="N22" s="237"/>
      <c r="O22" s="298"/>
      <c r="P22" s="5" t="e">
        <f t="shared" ref="P22" si="9">ROUNDUP((IF(N22="*",5,N22)/$G$7),0)*O22</f>
        <v>#VALUE!</v>
      </c>
      <c r="Q22" s="237"/>
      <c r="R22" s="298"/>
      <c r="S22" s="5" t="e">
        <f t="shared" ref="S22" si="10">ROUNDUP((IF(Q22="*",5,Q22)/$G$8),0)*R22</f>
        <v>#VALUE!</v>
      </c>
      <c r="T22" s="299"/>
      <c r="U22" s="299">
        <f t="shared" ref="U22" si="11">T22*$B$7</f>
        <v>0</v>
      </c>
    </row>
    <row r="23" spans="1:21" x14ac:dyDescent="0.25">
      <c r="A23" s="41" t="s">
        <v>12</v>
      </c>
      <c r="B23" s="219">
        <v>1256.76</v>
      </c>
      <c r="C23" s="236">
        <v>988.98</v>
      </c>
      <c r="D23" s="14">
        <v>0.78692829179795665</v>
      </c>
      <c r="E23" s="8"/>
      <c r="F23" s="297"/>
      <c r="G23" s="7" t="e">
        <f t="shared" ref="G23:G54" si="12">ROUNDUP((E23/$G$5),0)*F23</f>
        <v>#VALUE!</v>
      </c>
      <c r="H23" s="8"/>
      <c r="I23" s="297"/>
      <c r="J23" s="7" t="e">
        <f t="shared" ref="J23:J54" si="13">ROUNDUP((H23/$G$5),0)*I23</f>
        <v>#VALUE!</v>
      </c>
      <c r="K23" s="8"/>
      <c r="L23" s="298"/>
      <c r="M23" s="7" t="e">
        <f t="shared" ref="M23:M54" si="14">ROUNDUP((IF(K23="*",5,K23)/$G$6),0)*L23</f>
        <v>#VALUE!</v>
      </c>
      <c r="N23" s="237"/>
      <c r="O23" s="298"/>
      <c r="P23" s="5" t="e">
        <f t="shared" ref="P23:P54" si="15">ROUNDUP((IF(N23="*",5,N23)/$G$7),0)*O23</f>
        <v>#VALUE!</v>
      </c>
      <c r="Q23" s="237"/>
      <c r="R23" s="298"/>
      <c r="S23" s="5" t="e">
        <f t="shared" ref="S23:S54" si="16">ROUNDUP((IF(Q23="*",5,Q23)/$G$8),0)*R23</f>
        <v>#VALUE!</v>
      </c>
      <c r="T23" s="299"/>
      <c r="U23" s="299">
        <f t="shared" si="5"/>
        <v>0</v>
      </c>
    </row>
    <row r="24" spans="1:21" x14ac:dyDescent="0.25">
      <c r="A24" s="41" t="s">
        <v>13</v>
      </c>
      <c r="B24" s="219">
        <v>638.25</v>
      </c>
      <c r="C24" s="236">
        <v>596.16999999999996</v>
      </c>
      <c r="D24" s="14">
        <v>0.93406972189580884</v>
      </c>
      <c r="E24" s="8"/>
      <c r="F24" s="297"/>
      <c r="G24" s="7" t="e">
        <f t="shared" si="12"/>
        <v>#VALUE!</v>
      </c>
      <c r="H24" s="8"/>
      <c r="I24" s="297"/>
      <c r="J24" s="7" t="e">
        <f t="shared" si="13"/>
        <v>#VALUE!</v>
      </c>
      <c r="K24" s="8"/>
      <c r="L24" s="298"/>
      <c r="M24" s="7" t="e">
        <f t="shared" si="14"/>
        <v>#VALUE!</v>
      </c>
      <c r="N24" s="237"/>
      <c r="O24" s="298"/>
      <c r="P24" s="5" t="e">
        <f t="shared" si="15"/>
        <v>#VALUE!</v>
      </c>
      <c r="Q24" s="237"/>
      <c r="R24" s="298"/>
      <c r="S24" s="5" t="e">
        <f t="shared" si="16"/>
        <v>#VALUE!</v>
      </c>
      <c r="T24" s="299"/>
      <c r="U24" s="299">
        <f t="shared" si="5"/>
        <v>0</v>
      </c>
    </row>
    <row r="25" spans="1:21" x14ac:dyDescent="0.25">
      <c r="A25" s="41" t="s">
        <v>14</v>
      </c>
      <c r="B25" s="219">
        <v>587.14</v>
      </c>
      <c r="C25" s="236">
        <v>560.97</v>
      </c>
      <c r="D25" s="14">
        <v>0.95542800694893903</v>
      </c>
      <c r="E25" s="8"/>
      <c r="F25" s="297"/>
      <c r="G25" s="7" t="e">
        <f t="shared" si="12"/>
        <v>#VALUE!</v>
      </c>
      <c r="H25" s="8"/>
      <c r="I25" s="297"/>
      <c r="J25" s="7" t="e">
        <f t="shared" si="13"/>
        <v>#VALUE!</v>
      </c>
      <c r="K25" s="8"/>
      <c r="L25" s="298"/>
      <c r="M25" s="7" t="e">
        <f t="shared" si="14"/>
        <v>#VALUE!</v>
      </c>
      <c r="N25" s="237"/>
      <c r="O25" s="298"/>
      <c r="P25" s="5" t="e">
        <f t="shared" si="15"/>
        <v>#VALUE!</v>
      </c>
      <c r="Q25" s="237"/>
      <c r="R25" s="298"/>
      <c r="S25" s="5" t="e">
        <f t="shared" si="16"/>
        <v>#VALUE!</v>
      </c>
      <c r="T25" s="299"/>
      <c r="U25" s="299">
        <f t="shared" si="5"/>
        <v>0</v>
      </c>
    </row>
    <row r="26" spans="1:21" x14ac:dyDescent="0.25">
      <c r="A26" s="41" t="s">
        <v>15</v>
      </c>
      <c r="B26" s="219">
        <v>822.79</v>
      </c>
      <c r="C26" s="236">
        <v>627.70000000000005</v>
      </c>
      <c r="D26" s="14">
        <v>0.76289211098822307</v>
      </c>
      <c r="E26" s="8"/>
      <c r="F26" s="297"/>
      <c r="G26" s="7" t="e">
        <f t="shared" si="12"/>
        <v>#VALUE!</v>
      </c>
      <c r="H26" s="8"/>
      <c r="I26" s="297"/>
      <c r="J26" s="7" t="e">
        <f t="shared" si="13"/>
        <v>#VALUE!</v>
      </c>
      <c r="K26" s="8"/>
      <c r="L26" s="298"/>
      <c r="M26" s="7" t="e">
        <f t="shared" si="14"/>
        <v>#VALUE!</v>
      </c>
      <c r="N26" s="237"/>
      <c r="O26" s="298"/>
      <c r="P26" s="5" t="e">
        <f t="shared" si="15"/>
        <v>#VALUE!</v>
      </c>
      <c r="Q26" s="237"/>
      <c r="R26" s="298"/>
      <c r="S26" s="5" t="e">
        <f t="shared" si="16"/>
        <v>#VALUE!</v>
      </c>
      <c r="T26" s="299"/>
      <c r="U26" s="299">
        <f t="shared" si="5"/>
        <v>0</v>
      </c>
    </row>
    <row r="27" spans="1:21" x14ac:dyDescent="0.25">
      <c r="A27" s="41" t="s">
        <v>16</v>
      </c>
      <c r="B27" s="219">
        <v>2117.3200000000002</v>
      </c>
      <c r="C27" s="236">
        <v>1622.36</v>
      </c>
      <c r="D27" s="14">
        <v>0.76623278484121427</v>
      </c>
      <c r="E27" s="8"/>
      <c r="F27" s="297"/>
      <c r="G27" s="7" t="e">
        <f t="shared" si="12"/>
        <v>#VALUE!</v>
      </c>
      <c r="H27" s="8"/>
      <c r="I27" s="297"/>
      <c r="J27" s="7" t="e">
        <f t="shared" si="13"/>
        <v>#VALUE!</v>
      </c>
      <c r="K27" s="8"/>
      <c r="L27" s="298"/>
      <c r="M27" s="7" t="e">
        <f t="shared" si="14"/>
        <v>#VALUE!</v>
      </c>
      <c r="N27" s="237"/>
      <c r="O27" s="298"/>
      <c r="P27" s="5" t="e">
        <f t="shared" si="15"/>
        <v>#VALUE!</v>
      </c>
      <c r="Q27" s="237"/>
      <c r="R27" s="298"/>
      <c r="S27" s="5" t="e">
        <f t="shared" si="16"/>
        <v>#VALUE!</v>
      </c>
      <c r="T27" s="299"/>
      <c r="U27" s="299">
        <f t="shared" si="5"/>
        <v>0</v>
      </c>
    </row>
    <row r="28" spans="1:21" x14ac:dyDescent="0.25">
      <c r="A28" s="41" t="s">
        <v>17</v>
      </c>
      <c r="B28" s="219">
        <v>21287.25</v>
      </c>
      <c r="C28" s="236">
        <v>12285.96</v>
      </c>
      <c r="D28" s="14">
        <v>0.57715111158087584</v>
      </c>
      <c r="E28" s="8"/>
      <c r="F28" s="297"/>
      <c r="G28" s="7" t="e">
        <f t="shared" si="12"/>
        <v>#VALUE!</v>
      </c>
      <c r="H28" s="8"/>
      <c r="I28" s="297"/>
      <c r="J28" s="7" t="e">
        <f t="shared" si="13"/>
        <v>#VALUE!</v>
      </c>
      <c r="K28" s="8"/>
      <c r="L28" s="298"/>
      <c r="M28" s="7" t="e">
        <f t="shared" si="14"/>
        <v>#VALUE!</v>
      </c>
      <c r="N28" s="237"/>
      <c r="O28" s="298"/>
      <c r="P28" s="5" t="e">
        <f t="shared" si="15"/>
        <v>#VALUE!</v>
      </c>
      <c r="Q28" s="237"/>
      <c r="R28" s="298"/>
      <c r="S28" s="5" t="e">
        <f t="shared" si="16"/>
        <v>#VALUE!</v>
      </c>
      <c r="T28" s="299"/>
      <c r="U28" s="299">
        <f t="shared" si="5"/>
        <v>0</v>
      </c>
    </row>
    <row r="29" spans="1:21" x14ac:dyDescent="0.25">
      <c r="A29" s="41" t="s">
        <v>18</v>
      </c>
      <c r="B29" s="219">
        <v>34520.18</v>
      </c>
      <c r="C29" s="236">
        <v>19753.580000000002</v>
      </c>
      <c r="D29" s="14">
        <v>0.57223282149745458</v>
      </c>
      <c r="E29" s="8"/>
      <c r="F29" s="297"/>
      <c r="G29" s="7" t="e">
        <f t="shared" si="12"/>
        <v>#VALUE!</v>
      </c>
      <c r="H29" s="8"/>
      <c r="I29" s="297"/>
      <c r="J29" s="7" t="e">
        <f t="shared" si="13"/>
        <v>#VALUE!</v>
      </c>
      <c r="K29" s="8"/>
      <c r="L29" s="298"/>
      <c r="M29" s="7" t="e">
        <f t="shared" si="14"/>
        <v>#VALUE!</v>
      </c>
      <c r="N29" s="237"/>
      <c r="O29" s="298"/>
      <c r="P29" s="5" t="e">
        <f t="shared" si="15"/>
        <v>#VALUE!</v>
      </c>
      <c r="Q29" s="237"/>
      <c r="R29" s="298"/>
      <c r="S29" s="5" t="e">
        <f t="shared" si="16"/>
        <v>#VALUE!</v>
      </c>
      <c r="T29" s="299"/>
      <c r="U29" s="299">
        <f t="shared" si="5"/>
        <v>0</v>
      </c>
    </row>
    <row r="30" spans="1:21" x14ac:dyDescent="0.25">
      <c r="A30" s="41" t="s">
        <v>19</v>
      </c>
      <c r="B30" s="219">
        <v>1587.18</v>
      </c>
      <c r="C30" s="236">
        <v>1248.23</v>
      </c>
      <c r="D30" s="14">
        <v>0.78644514169785407</v>
      </c>
      <c r="E30" s="8"/>
      <c r="F30" s="297"/>
      <c r="G30" s="7" t="e">
        <f t="shared" si="12"/>
        <v>#VALUE!</v>
      </c>
      <c r="H30" s="8"/>
      <c r="I30" s="297"/>
      <c r="J30" s="7" t="e">
        <f t="shared" si="13"/>
        <v>#VALUE!</v>
      </c>
      <c r="K30" s="8"/>
      <c r="L30" s="298"/>
      <c r="M30" s="7" t="e">
        <f t="shared" si="14"/>
        <v>#VALUE!</v>
      </c>
      <c r="N30" s="237"/>
      <c r="O30" s="298"/>
      <c r="P30" s="5" t="e">
        <f t="shared" si="15"/>
        <v>#VALUE!</v>
      </c>
      <c r="Q30" s="237"/>
      <c r="R30" s="298"/>
      <c r="S30" s="5" t="e">
        <f t="shared" si="16"/>
        <v>#VALUE!</v>
      </c>
      <c r="T30" s="299"/>
      <c r="U30" s="299">
        <f t="shared" si="5"/>
        <v>0</v>
      </c>
    </row>
    <row r="31" spans="1:21" x14ac:dyDescent="0.25">
      <c r="A31" s="41" t="s">
        <v>20</v>
      </c>
      <c r="B31" s="219">
        <v>46485.36</v>
      </c>
      <c r="C31" s="236">
        <v>24154.240000000002</v>
      </c>
      <c r="D31" s="14">
        <v>0.51960961472601264</v>
      </c>
      <c r="E31" s="8"/>
      <c r="F31" s="297"/>
      <c r="G31" s="7" t="e">
        <f t="shared" si="12"/>
        <v>#VALUE!</v>
      </c>
      <c r="H31" s="8"/>
      <c r="I31" s="297"/>
      <c r="J31" s="7" t="e">
        <f t="shared" si="13"/>
        <v>#VALUE!</v>
      </c>
      <c r="K31" s="8"/>
      <c r="L31" s="298"/>
      <c r="M31" s="7" t="e">
        <f t="shared" si="14"/>
        <v>#VALUE!</v>
      </c>
      <c r="N31" s="237"/>
      <c r="O31" s="298"/>
      <c r="P31" s="5" t="e">
        <f t="shared" si="15"/>
        <v>#VALUE!</v>
      </c>
      <c r="Q31" s="237"/>
      <c r="R31" s="298"/>
      <c r="S31" s="5" t="e">
        <f t="shared" si="16"/>
        <v>#VALUE!</v>
      </c>
      <c r="T31" s="299"/>
      <c r="U31" s="299">
        <f t="shared" si="5"/>
        <v>0</v>
      </c>
    </row>
    <row r="32" spans="1:21" x14ac:dyDescent="0.25">
      <c r="A32" s="41" t="s">
        <v>21</v>
      </c>
      <c r="B32" s="219">
        <v>8259.2199999999993</v>
      </c>
      <c r="C32" s="236">
        <v>6117.46</v>
      </c>
      <c r="D32" s="14">
        <v>0.74068253418603702</v>
      </c>
      <c r="E32" s="8"/>
      <c r="F32" s="297"/>
      <c r="G32" s="7" t="e">
        <f t="shared" si="12"/>
        <v>#VALUE!</v>
      </c>
      <c r="H32" s="8"/>
      <c r="I32" s="297"/>
      <c r="J32" s="7" t="e">
        <f t="shared" si="13"/>
        <v>#VALUE!</v>
      </c>
      <c r="K32" s="8"/>
      <c r="L32" s="298"/>
      <c r="M32" s="7" t="e">
        <f t="shared" si="14"/>
        <v>#VALUE!</v>
      </c>
      <c r="N32" s="237"/>
      <c r="O32" s="298"/>
      <c r="P32" s="5" t="e">
        <f t="shared" si="15"/>
        <v>#VALUE!</v>
      </c>
      <c r="Q32" s="237"/>
      <c r="R32" s="298"/>
      <c r="S32" s="5" t="e">
        <f t="shared" si="16"/>
        <v>#VALUE!</v>
      </c>
      <c r="T32" s="299"/>
      <c r="U32" s="299">
        <f t="shared" si="5"/>
        <v>0</v>
      </c>
    </row>
    <row r="33" spans="1:21" x14ac:dyDescent="0.25">
      <c r="A33" s="41" t="s">
        <v>22</v>
      </c>
      <c r="B33" s="219">
        <v>4970.04</v>
      </c>
      <c r="C33" s="236">
        <v>3916.87</v>
      </c>
      <c r="D33" s="14">
        <v>0.78809627286701911</v>
      </c>
      <c r="E33" s="8"/>
      <c r="F33" s="297"/>
      <c r="G33" s="7" t="e">
        <f t="shared" si="12"/>
        <v>#VALUE!</v>
      </c>
      <c r="H33" s="8"/>
      <c r="I33" s="297"/>
      <c r="J33" s="7" t="e">
        <f t="shared" si="13"/>
        <v>#VALUE!</v>
      </c>
      <c r="K33" s="8"/>
      <c r="L33" s="298"/>
      <c r="M33" s="7" t="e">
        <f t="shared" si="14"/>
        <v>#VALUE!</v>
      </c>
      <c r="N33" s="237"/>
      <c r="O33" s="298"/>
      <c r="P33" s="5" t="e">
        <f t="shared" si="15"/>
        <v>#VALUE!</v>
      </c>
      <c r="Q33" s="237"/>
      <c r="R33" s="298"/>
      <c r="S33" s="5" t="e">
        <f t="shared" si="16"/>
        <v>#VALUE!</v>
      </c>
      <c r="T33" s="299"/>
      <c r="U33" s="299">
        <f t="shared" si="5"/>
        <v>0</v>
      </c>
    </row>
    <row r="34" spans="1:21" x14ac:dyDescent="0.25">
      <c r="A34" s="41" t="s">
        <v>23</v>
      </c>
      <c r="B34" s="219">
        <v>6691.02</v>
      </c>
      <c r="C34" s="236">
        <v>5025.46</v>
      </c>
      <c r="D34" s="14">
        <v>0.75107532184928449</v>
      </c>
      <c r="E34" s="8"/>
      <c r="F34" s="297"/>
      <c r="G34" s="7" t="e">
        <f t="shared" si="12"/>
        <v>#VALUE!</v>
      </c>
      <c r="H34" s="8"/>
      <c r="I34" s="297"/>
      <c r="J34" s="7" t="e">
        <f t="shared" si="13"/>
        <v>#VALUE!</v>
      </c>
      <c r="K34" s="8"/>
      <c r="L34" s="298"/>
      <c r="M34" s="7" t="e">
        <f t="shared" si="14"/>
        <v>#VALUE!</v>
      </c>
      <c r="N34" s="237"/>
      <c r="O34" s="298"/>
      <c r="P34" s="5" t="e">
        <f t="shared" si="15"/>
        <v>#VALUE!</v>
      </c>
      <c r="Q34" s="237"/>
      <c r="R34" s="298"/>
      <c r="S34" s="5" t="e">
        <f t="shared" si="16"/>
        <v>#VALUE!</v>
      </c>
      <c r="T34" s="299"/>
      <c r="U34" s="299">
        <f t="shared" si="5"/>
        <v>0</v>
      </c>
    </row>
    <row r="35" spans="1:21" x14ac:dyDescent="0.25">
      <c r="A35" s="41" t="s">
        <v>24</v>
      </c>
      <c r="B35" s="219">
        <v>710.4</v>
      </c>
      <c r="C35" s="236">
        <v>656.97</v>
      </c>
      <c r="D35" s="14">
        <v>0.92478885135135147</v>
      </c>
      <c r="E35" s="8"/>
      <c r="F35" s="297"/>
      <c r="G35" s="7" t="e">
        <f t="shared" si="12"/>
        <v>#VALUE!</v>
      </c>
      <c r="H35" s="8"/>
      <c r="I35" s="297"/>
      <c r="J35" s="7" t="e">
        <f t="shared" si="13"/>
        <v>#VALUE!</v>
      </c>
      <c r="K35" s="8"/>
      <c r="L35" s="298"/>
      <c r="M35" s="7" t="e">
        <f t="shared" si="14"/>
        <v>#VALUE!</v>
      </c>
      <c r="N35" s="237"/>
      <c r="O35" s="298"/>
      <c r="P35" s="5" t="e">
        <f t="shared" si="15"/>
        <v>#VALUE!</v>
      </c>
      <c r="Q35" s="237"/>
      <c r="R35" s="298"/>
      <c r="S35" s="5" t="e">
        <f t="shared" si="16"/>
        <v>#VALUE!</v>
      </c>
      <c r="T35" s="299"/>
      <c r="U35" s="299">
        <f t="shared" si="5"/>
        <v>0</v>
      </c>
    </row>
    <row r="36" spans="1:21" x14ac:dyDescent="0.25">
      <c r="A36" s="41" t="s">
        <v>25</v>
      </c>
      <c r="B36" s="219">
        <v>2753.54</v>
      </c>
      <c r="C36" s="236">
        <v>2395.11</v>
      </c>
      <c r="D36" s="14">
        <v>0.8698293832666314</v>
      </c>
      <c r="E36" s="8"/>
      <c r="F36" s="297"/>
      <c r="G36" s="7" t="e">
        <f t="shared" si="12"/>
        <v>#VALUE!</v>
      </c>
      <c r="H36" s="8"/>
      <c r="I36" s="297"/>
      <c r="J36" s="7" t="e">
        <f t="shared" si="13"/>
        <v>#VALUE!</v>
      </c>
      <c r="K36" s="8"/>
      <c r="L36" s="298"/>
      <c r="M36" s="7" t="e">
        <f t="shared" si="14"/>
        <v>#VALUE!</v>
      </c>
      <c r="N36" s="237"/>
      <c r="O36" s="298"/>
      <c r="P36" s="5" t="e">
        <f t="shared" si="15"/>
        <v>#VALUE!</v>
      </c>
      <c r="Q36" s="237"/>
      <c r="R36" s="298"/>
      <c r="S36" s="5" t="e">
        <f t="shared" si="16"/>
        <v>#VALUE!</v>
      </c>
      <c r="T36" s="299"/>
      <c r="U36" s="299">
        <f t="shared" si="5"/>
        <v>0</v>
      </c>
    </row>
    <row r="37" spans="1:21" x14ac:dyDescent="0.25">
      <c r="A37" s="41" t="s">
        <v>26</v>
      </c>
      <c r="B37" s="219">
        <v>1253.3399999999999</v>
      </c>
      <c r="C37" s="236">
        <v>789.47</v>
      </c>
      <c r="D37" s="14">
        <v>0.62989292610145697</v>
      </c>
      <c r="E37" s="8"/>
      <c r="F37" s="297"/>
      <c r="G37" s="7" t="e">
        <f t="shared" si="12"/>
        <v>#VALUE!</v>
      </c>
      <c r="H37" s="8"/>
      <c r="I37" s="297"/>
      <c r="J37" s="7" t="e">
        <f t="shared" si="13"/>
        <v>#VALUE!</v>
      </c>
      <c r="K37" s="8"/>
      <c r="L37" s="298"/>
      <c r="M37" s="7" t="e">
        <f t="shared" si="14"/>
        <v>#VALUE!</v>
      </c>
      <c r="N37" s="237"/>
      <c r="O37" s="298"/>
      <c r="P37" s="5" t="e">
        <f t="shared" si="15"/>
        <v>#VALUE!</v>
      </c>
      <c r="Q37" s="237"/>
      <c r="R37" s="298"/>
      <c r="S37" s="5" t="e">
        <f t="shared" si="16"/>
        <v>#VALUE!</v>
      </c>
      <c r="T37" s="299"/>
      <c r="U37" s="299">
        <f t="shared" si="5"/>
        <v>0</v>
      </c>
    </row>
    <row r="38" spans="1:21" x14ac:dyDescent="0.25">
      <c r="A38" s="41" t="s">
        <v>27</v>
      </c>
      <c r="B38" s="219">
        <v>5263.6</v>
      </c>
      <c r="C38" s="236">
        <v>4431.29</v>
      </c>
      <c r="D38" s="14">
        <v>0.84187438255186553</v>
      </c>
      <c r="E38" s="8"/>
      <c r="F38" s="297"/>
      <c r="G38" s="7" t="e">
        <f t="shared" si="12"/>
        <v>#VALUE!</v>
      </c>
      <c r="H38" s="8"/>
      <c r="I38" s="297"/>
      <c r="J38" s="7" t="e">
        <f t="shared" si="13"/>
        <v>#VALUE!</v>
      </c>
      <c r="K38" s="8"/>
      <c r="L38" s="298"/>
      <c r="M38" s="7" t="e">
        <f t="shared" si="14"/>
        <v>#VALUE!</v>
      </c>
      <c r="N38" s="237"/>
      <c r="O38" s="298"/>
      <c r="P38" s="5" t="e">
        <f t="shared" si="15"/>
        <v>#VALUE!</v>
      </c>
      <c r="Q38" s="237"/>
      <c r="R38" s="298"/>
      <c r="S38" s="5" t="e">
        <f t="shared" si="16"/>
        <v>#VALUE!</v>
      </c>
      <c r="T38" s="299"/>
      <c r="U38" s="299">
        <f t="shared" si="5"/>
        <v>0</v>
      </c>
    </row>
    <row r="39" spans="1:21" x14ac:dyDescent="0.25">
      <c r="A39" s="41" t="s">
        <v>28</v>
      </c>
      <c r="B39" s="219">
        <v>9606.7099999999991</v>
      </c>
      <c r="C39" s="236">
        <v>7456.46</v>
      </c>
      <c r="D39" s="14">
        <v>0.77617207139593059</v>
      </c>
      <c r="E39" s="8"/>
      <c r="F39" s="297"/>
      <c r="G39" s="7" t="e">
        <f t="shared" si="12"/>
        <v>#VALUE!</v>
      </c>
      <c r="H39" s="8"/>
      <c r="I39" s="297"/>
      <c r="J39" s="7" t="e">
        <f t="shared" si="13"/>
        <v>#VALUE!</v>
      </c>
      <c r="K39" s="8"/>
      <c r="L39" s="298"/>
      <c r="M39" s="7" t="e">
        <f t="shared" si="14"/>
        <v>#VALUE!</v>
      </c>
      <c r="N39" s="237"/>
      <c r="O39" s="298"/>
      <c r="P39" s="5" t="e">
        <f t="shared" si="15"/>
        <v>#VALUE!</v>
      </c>
      <c r="Q39" s="237"/>
      <c r="R39" s="298"/>
      <c r="S39" s="5" t="e">
        <f t="shared" si="16"/>
        <v>#VALUE!</v>
      </c>
      <c r="T39" s="299"/>
      <c r="U39" s="299">
        <f t="shared" si="5"/>
        <v>0</v>
      </c>
    </row>
    <row r="40" spans="1:21" x14ac:dyDescent="0.25">
      <c r="A40" s="41" t="s">
        <v>29</v>
      </c>
      <c r="B40" s="219">
        <v>1528.03</v>
      </c>
      <c r="C40" s="236">
        <v>1086.46</v>
      </c>
      <c r="D40" s="14">
        <v>0.711020071595453</v>
      </c>
      <c r="E40" s="8"/>
      <c r="F40" s="297"/>
      <c r="G40" s="7" t="e">
        <f t="shared" si="12"/>
        <v>#VALUE!</v>
      </c>
      <c r="H40" s="8"/>
      <c r="I40" s="297"/>
      <c r="J40" s="7" t="e">
        <f t="shared" si="13"/>
        <v>#VALUE!</v>
      </c>
      <c r="K40" s="8"/>
      <c r="L40" s="298"/>
      <c r="M40" s="7" t="e">
        <f t="shared" si="14"/>
        <v>#VALUE!</v>
      </c>
      <c r="N40" s="237"/>
      <c r="O40" s="298"/>
      <c r="P40" s="5" t="e">
        <f t="shared" si="15"/>
        <v>#VALUE!</v>
      </c>
      <c r="Q40" s="237"/>
      <c r="R40" s="298"/>
      <c r="S40" s="5" t="e">
        <f t="shared" si="16"/>
        <v>#VALUE!</v>
      </c>
      <c r="T40" s="299"/>
      <c r="U40" s="299">
        <f t="shared" si="5"/>
        <v>0</v>
      </c>
    </row>
    <row r="41" spans="1:21" x14ac:dyDescent="0.25">
      <c r="A41" s="41" t="s">
        <v>30</v>
      </c>
      <c r="B41" s="219">
        <v>3982.19</v>
      </c>
      <c r="C41" s="236">
        <v>3716.77</v>
      </c>
      <c r="D41" s="14">
        <v>0.93334823300746572</v>
      </c>
      <c r="E41" s="8"/>
      <c r="F41" s="297"/>
      <c r="G41" s="7" t="e">
        <f t="shared" si="12"/>
        <v>#VALUE!</v>
      </c>
      <c r="H41" s="8"/>
      <c r="I41" s="297"/>
      <c r="J41" s="7" t="e">
        <f t="shared" si="13"/>
        <v>#VALUE!</v>
      </c>
      <c r="K41" s="8"/>
      <c r="L41" s="298"/>
      <c r="M41" s="7" t="e">
        <f t="shared" si="14"/>
        <v>#VALUE!</v>
      </c>
      <c r="N41" s="237"/>
      <c r="O41" s="298"/>
      <c r="P41" s="5" t="e">
        <f t="shared" si="15"/>
        <v>#VALUE!</v>
      </c>
      <c r="Q41" s="237"/>
      <c r="R41" s="298"/>
      <c r="S41" s="5" t="e">
        <f t="shared" si="16"/>
        <v>#VALUE!</v>
      </c>
      <c r="T41" s="299"/>
      <c r="U41" s="299">
        <f t="shared" si="5"/>
        <v>0</v>
      </c>
    </row>
    <row r="42" spans="1:21" x14ac:dyDescent="0.25">
      <c r="A42" s="41" t="s">
        <v>31</v>
      </c>
      <c r="B42" s="219">
        <v>25440.37</v>
      </c>
      <c r="C42" s="236">
        <v>13001.24</v>
      </c>
      <c r="D42" s="14">
        <v>0.51104759875740802</v>
      </c>
      <c r="E42" s="8"/>
      <c r="F42" s="297"/>
      <c r="G42" s="7" t="e">
        <f t="shared" si="12"/>
        <v>#VALUE!</v>
      </c>
      <c r="H42" s="8"/>
      <c r="I42" s="297"/>
      <c r="J42" s="7" t="e">
        <f t="shared" si="13"/>
        <v>#VALUE!</v>
      </c>
      <c r="K42" s="8"/>
      <c r="L42" s="298"/>
      <c r="M42" s="7" t="e">
        <f t="shared" si="14"/>
        <v>#VALUE!</v>
      </c>
      <c r="N42" s="237"/>
      <c r="O42" s="298"/>
      <c r="P42" s="5" t="e">
        <f t="shared" si="15"/>
        <v>#VALUE!</v>
      </c>
      <c r="Q42" s="237"/>
      <c r="R42" s="298"/>
      <c r="S42" s="5" t="e">
        <f t="shared" si="16"/>
        <v>#VALUE!</v>
      </c>
      <c r="T42" s="299"/>
      <c r="U42" s="299">
        <f t="shared" si="5"/>
        <v>0</v>
      </c>
    </row>
    <row r="43" spans="1:21" x14ac:dyDescent="0.25">
      <c r="A43" s="41" t="s">
        <v>32</v>
      </c>
      <c r="B43" s="219">
        <v>2145.29</v>
      </c>
      <c r="C43" s="236">
        <v>1651.18</v>
      </c>
      <c r="D43" s="14">
        <v>0.76967682690918249</v>
      </c>
      <c r="E43" s="8"/>
      <c r="F43" s="297"/>
      <c r="G43" s="7" t="e">
        <f t="shared" si="12"/>
        <v>#VALUE!</v>
      </c>
      <c r="H43" s="8"/>
      <c r="I43" s="297"/>
      <c r="J43" s="7" t="e">
        <f t="shared" si="13"/>
        <v>#VALUE!</v>
      </c>
      <c r="K43" s="8"/>
      <c r="L43" s="298"/>
      <c r="M43" s="7" t="e">
        <f t="shared" si="14"/>
        <v>#VALUE!</v>
      </c>
      <c r="N43" s="237"/>
      <c r="O43" s="298"/>
      <c r="P43" s="5" t="e">
        <f t="shared" si="15"/>
        <v>#VALUE!</v>
      </c>
      <c r="Q43" s="237"/>
      <c r="R43" s="298"/>
      <c r="S43" s="5" t="e">
        <f t="shared" si="16"/>
        <v>#VALUE!</v>
      </c>
      <c r="T43" s="299"/>
      <c r="U43" s="299">
        <f t="shared" si="5"/>
        <v>0</v>
      </c>
    </row>
    <row r="44" spans="1:21" x14ac:dyDescent="0.25">
      <c r="A44" s="41" t="s">
        <v>33</v>
      </c>
      <c r="B44" s="219">
        <v>3224.83</v>
      </c>
      <c r="C44" s="236">
        <v>2075.11</v>
      </c>
      <c r="D44" s="14">
        <v>0.64347888105729611</v>
      </c>
      <c r="E44" s="8"/>
      <c r="F44" s="297"/>
      <c r="G44" s="7" t="e">
        <f t="shared" si="12"/>
        <v>#VALUE!</v>
      </c>
      <c r="H44" s="8"/>
      <c r="I44" s="297"/>
      <c r="J44" s="7" t="e">
        <f t="shared" si="13"/>
        <v>#VALUE!</v>
      </c>
      <c r="K44" s="8"/>
      <c r="L44" s="298"/>
      <c r="M44" s="7" t="e">
        <f t="shared" si="14"/>
        <v>#VALUE!</v>
      </c>
      <c r="N44" s="237"/>
      <c r="O44" s="298"/>
      <c r="P44" s="5" t="e">
        <f t="shared" si="15"/>
        <v>#VALUE!</v>
      </c>
      <c r="Q44" s="237"/>
      <c r="R44" s="298"/>
      <c r="S44" s="5" t="e">
        <f t="shared" si="16"/>
        <v>#VALUE!</v>
      </c>
      <c r="T44" s="299"/>
      <c r="U44" s="299">
        <f t="shared" si="5"/>
        <v>0</v>
      </c>
    </row>
    <row r="45" spans="1:21" x14ac:dyDescent="0.25">
      <c r="A45" s="41" t="s">
        <v>34</v>
      </c>
      <c r="B45" s="219">
        <v>2373.3200000000002</v>
      </c>
      <c r="C45" s="236">
        <v>2070.19</v>
      </c>
      <c r="D45" s="14">
        <v>0.87227596784251593</v>
      </c>
      <c r="E45" s="8"/>
      <c r="F45" s="297"/>
      <c r="G45" s="7" t="e">
        <f t="shared" si="12"/>
        <v>#VALUE!</v>
      </c>
      <c r="H45" s="8"/>
      <c r="I45" s="297"/>
      <c r="J45" s="7" t="e">
        <f t="shared" si="13"/>
        <v>#VALUE!</v>
      </c>
      <c r="K45" s="8"/>
      <c r="L45" s="298"/>
      <c r="M45" s="7" t="e">
        <f t="shared" si="14"/>
        <v>#VALUE!</v>
      </c>
      <c r="N45" s="237"/>
      <c r="O45" s="298"/>
      <c r="P45" s="5" t="e">
        <f t="shared" si="15"/>
        <v>#VALUE!</v>
      </c>
      <c r="Q45" s="237"/>
      <c r="R45" s="298"/>
      <c r="S45" s="5" t="e">
        <f t="shared" si="16"/>
        <v>#VALUE!</v>
      </c>
      <c r="T45" s="299"/>
      <c r="U45" s="299">
        <f t="shared" si="5"/>
        <v>0</v>
      </c>
    </row>
    <row r="46" spans="1:21" x14ac:dyDescent="0.25">
      <c r="A46" s="41" t="s">
        <v>35</v>
      </c>
      <c r="B46" s="219">
        <v>15667.43</v>
      </c>
      <c r="C46" s="236">
        <v>10603.64</v>
      </c>
      <c r="D46" s="14">
        <v>0.67679510934467235</v>
      </c>
      <c r="E46" s="8"/>
      <c r="F46" s="297"/>
      <c r="G46" s="7" t="e">
        <f t="shared" si="12"/>
        <v>#VALUE!</v>
      </c>
      <c r="H46" s="8"/>
      <c r="I46" s="297"/>
      <c r="J46" s="7" t="e">
        <f t="shared" si="13"/>
        <v>#VALUE!</v>
      </c>
      <c r="K46" s="8"/>
      <c r="L46" s="298"/>
      <c r="M46" s="7" t="e">
        <f t="shared" si="14"/>
        <v>#VALUE!</v>
      </c>
      <c r="N46" s="237"/>
      <c r="O46" s="298"/>
      <c r="P46" s="5" t="e">
        <f t="shared" si="15"/>
        <v>#VALUE!</v>
      </c>
      <c r="Q46" s="237"/>
      <c r="R46" s="298"/>
      <c r="S46" s="5" t="e">
        <f t="shared" si="16"/>
        <v>#VALUE!</v>
      </c>
      <c r="T46" s="299"/>
      <c r="U46" s="299">
        <f t="shared" si="5"/>
        <v>0</v>
      </c>
    </row>
    <row r="47" spans="1:21" x14ac:dyDescent="0.25">
      <c r="A47" s="41" t="s">
        <v>36</v>
      </c>
      <c r="B47" s="219">
        <v>1091.3900000000001</v>
      </c>
      <c r="C47" s="236">
        <v>772.62</v>
      </c>
      <c r="D47" s="14">
        <v>0.70792292397767975</v>
      </c>
      <c r="E47" s="8"/>
      <c r="F47" s="297"/>
      <c r="G47" s="7" t="e">
        <f t="shared" si="12"/>
        <v>#VALUE!</v>
      </c>
      <c r="H47" s="8"/>
      <c r="I47" s="297"/>
      <c r="J47" s="7" t="e">
        <f t="shared" si="13"/>
        <v>#VALUE!</v>
      </c>
      <c r="K47" s="8"/>
      <c r="L47" s="298"/>
      <c r="M47" s="7" t="e">
        <f t="shared" si="14"/>
        <v>#VALUE!</v>
      </c>
      <c r="N47" s="237"/>
      <c r="O47" s="298"/>
      <c r="P47" s="5" t="e">
        <f t="shared" si="15"/>
        <v>#VALUE!</v>
      </c>
      <c r="Q47" s="237"/>
      <c r="R47" s="298"/>
      <c r="S47" s="5" t="e">
        <f t="shared" si="16"/>
        <v>#VALUE!</v>
      </c>
      <c r="T47" s="299"/>
      <c r="U47" s="299">
        <f t="shared" si="5"/>
        <v>0</v>
      </c>
    </row>
    <row r="48" spans="1:21" x14ac:dyDescent="0.25">
      <c r="A48" s="41" t="s">
        <v>37</v>
      </c>
      <c r="B48" s="219">
        <v>3269.06</v>
      </c>
      <c r="C48" s="236">
        <v>2915.7</v>
      </c>
      <c r="D48" s="14">
        <v>0.89190776553504669</v>
      </c>
      <c r="E48" s="8"/>
      <c r="F48" s="297"/>
      <c r="G48" s="7" t="e">
        <f t="shared" si="12"/>
        <v>#VALUE!</v>
      </c>
      <c r="H48" s="8"/>
      <c r="I48" s="297"/>
      <c r="J48" s="7" t="e">
        <f t="shared" si="13"/>
        <v>#VALUE!</v>
      </c>
      <c r="K48" s="8"/>
      <c r="L48" s="298"/>
      <c r="M48" s="7" t="e">
        <f t="shared" si="14"/>
        <v>#VALUE!</v>
      </c>
      <c r="N48" s="237"/>
      <c r="O48" s="298"/>
      <c r="P48" s="5" t="e">
        <f t="shared" si="15"/>
        <v>#VALUE!</v>
      </c>
      <c r="Q48" s="237"/>
      <c r="R48" s="298"/>
      <c r="S48" s="5" t="e">
        <f t="shared" si="16"/>
        <v>#VALUE!</v>
      </c>
      <c r="T48" s="299"/>
      <c r="U48" s="299">
        <f t="shared" si="5"/>
        <v>0</v>
      </c>
    </row>
    <row r="49" spans="1:21" x14ac:dyDescent="0.25">
      <c r="A49" s="41" t="s">
        <v>38</v>
      </c>
      <c r="B49" s="219">
        <v>656.05</v>
      </c>
      <c r="C49" s="236">
        <v>619.41</v>
      </c>
      <c r="D49" s="14">
        <v>0.94415059827757031</v>
      </c>
      <c r="E49" s="8"/>
      <c r="F49" s="297"/>
      <c r="G49" s="7" t="e">
        <f t="shared" si="12"/>
        <v>#VALUE!</v>
      </c>
      <c r="H49" s="8"/>
      <c r="I49" s="297"/>
      <c r="J49" s="7" t="e">
        <f t="shared" si="13"/>
        <v>#VALUE!</v>
      </c>
      <c r="K49" s="8"/>
      <c r="L49" s="298"/>
      <c r="M49" s="7" t="e">
        <f t="shared" si="14"/>
        <v>#VALUE!</v>
      </c>
      <c r="N49" s="237"/>
      <c r="O49" s="298"/>
      <c r="P49" s="5" t="e">
        <f t="shared" si="15"/>
        <v>#VALUE!</v>
      </c>
      <c r="Q49" s="237"/>
      <c r="R49" s="298"/>
      <c r="S49" s="5" t="e">
        <f t="shared" si="16"/>
        <v>#VALUE!</v>
      </c>
      <c r="T49" s="299"/>
      <c r="U49" s="299">
        <f t="shared" si="5"/>
        <v>0</v>
      </c>
    </row>
    <row r="50" spans="1:21" x14ac:dyDescent="0.25">
      <c r="A50" s="41" t="s">
        <v>39</v>
      </c>
      <c r="B50" s="219">
        <v>1181.8699999999999</v>
      </c>
      <c r="C50" s="236">
        <v>827.32</v>
      </c>
      <c r="D50" s="14">
        <v>0.70000930728421917</v>
      </c>
      <c r="E50" s="8"/>
      <c r="F50" s="297"/>
      <c r="G50" s="7" t="e">
        <f t="shared" si="12"/>
        <v>#VALUE!</v>
      </c>
      <c r="H50" s="8"/>
      <c r="I50" s="297"/>
      <c r="J50" s="7" t="e">
        <f t="shared" si="13"/>
        <v>#VALUE!</v>
      </c>
      <c r="K50" s="8"/>
      <c r="L50" s="298"/>
      <c r="M50" s="7" t="e">
        <f t="shared" si="14"/>
        <v>#VALUE!</v>
      </c>
      <c r="N50" s="237"/>
      <c r="O50" s="298"/>
      <c r="P50" s="5" t="e">
        <f t="shared" si="15"/>
        <v>#VALUE!</v>
      </c>
      <c r="Q50" s="237"/>
      <c r="R50" s="298"/>
      <c r="S50" s="5" t="e">
        <f t="shared" si="16"/>
        <v>#VALUE!</v>
      </c>
      <c r="T50" s="299"/>
      <c r="U50" s="299">
        <f t="shared" si="5"/>
        <v>0</v>
      </c>
    </row>
    <row r="51" spans="1:21" x14ac:dyDescent="0.25">
      <c r="A51" s="41" t="s">
        <v>40</v>
      </c>
      <c r="B51" s="219">
        <v>8929.7900000000009</v>
      </c>
      <c r="C51" s="236">
        <v>6097.28</v>
      </c>
      <c r="D51" s="14">
        <v>0.68280217115968</v>
      </c>
      <c r="E51" s="8"/>
      <c r="F51" s="297"/>
      <c r="G51" s="7" t="e">
        <f t="shared" si="12"/>
        <v>#VALUE!</v>
      </c>
      <c r="H51" s="8"/>
      <c r="I51" s="297"/>
      <c r="J51" s="7" t="e">
        <f t="shared" si="13"/>
        <v>#VALUE!</v>
      </c>
      <c r="K51" s="8"/>
      <c r="L51" s="298"/>
      <c r="M51" s="7" t="e">
        <f t="shared" si="14"/>
        <v>#VALUE!</v>
      </c>
      <c r="N51" s="237"/>
      <c r="O51" s="298"/>
      <c r="P51" s="5" t="e">
        <f t="shared" si="15"/>
        <v>#VALUE!</v>
      </c>
      <c r="Q51" s="237"/>
      <c r="R51" s="298"/>
      <c r="S51" s="5" t="e">
        <f t="shared" si="16"/>
        <v>#VALUE!</v>
      </c>
      <c r="T51" s="299"/>
      <c r="U51" s="299">
        <f t="shared" si="5"/>
        <v>0</v>
      </c>
    </row>
    <row r="52" spans="1:21" x14ac:dyDescent="0.25">
      <c r="A52" s="41" t="s">
        <v>41</v>
      </c>
      <c r="B52" s="219">
        <v>74161.66</v>
      </c>
      <c r="C52" s="236">
        <v>40174.94</v>
      </c>
      <c r="D52" s="14">
        <v>0.54172115349090078</v>
      </c>
      <c r="E52" s="8"/>
      <c r="F52" s="297"/>
      <c r="G52" s="7" t="e">
        <f t="shared" si="12"/>
        <v>#VALUE!</v>
      </c>
      <c r="H52" s="8"/>
      <c r="I52" s="297"/>
      <c r="J52" s="7" t="e">
        <f t="shared" si="13"/>
        <v>#VALUE!</v>
      </c>
      <c r="K52" s="8"/>
      <c r="L52" s="298"/>
      <c r="M52" s="7" t="e">
        <f t="shared" si="14"/>
        <v>#VALUE!</v>
      </c>
      <c r="N52" s="237"/>
      <c r="O52" s="298"/>
      <c r="P52" s="5" t="e">
        <f t="shared" si="15"/>
        <v>#VALUE!</v>
      </c>
      <c r="Q52" s="237"/>
      <c r="R52" s="298"/>
      <c r="S52" s="5" t="e">
        <f t="shared" si="16"/>
        <v>#VALUE!</v>
      </c>
      <c r="T52" s="299"/>
      <c r="U52" s="299">
        <f t="shared" si="5"/>
        <v>0</v>
      </c>
    </row>
    <row r="53" spans="1:21" x14ac:dyDescent="0.25">
      <c r="A53" s="41" t="s">
        <v>42</v>
      </c>
      <c r="B53" s="219">
        <v>8515.0300000000007</v>
      </c>
      <c r="C53" s="236">
        <v>6247.89</v>
      </c>
      <c r="D53" s="14">
        <v>0.73374844245997961</v>
      </c>
      <c r="E53" s="8"/>
      <c r="F53" s="297"/>
      <c r="G53" s="7" t="e">
        <f t="shared" si="12"/>
        <v>#VALUE!</v>
      </c>
      <c r="H53" s="8"/>
      <c r="I53" s="297"/>
      <c r="J53" s="7" t="e">
        <f t="shared" si="13"/>
        <v>#VALUE!</v>
      </c>
      <c r="K53" s="8"/>
      <c r="L53" s="298"/>
      <c r="M53" s="7" t="e">
        <f t="shared" si="14"/>
        <v>#VALUE!</v>
      </c>
      <c r="N53" s="237"/>
      <c r="O53" s="298"/>
      <c r="P53" s="5" t="e">
        <f t="shared" si="15"/>
        <v>#VALUE!</v>
      </c>
      <c r="Q53" s="237"/>
      <c r="R53" s="298"/>
      <c r="S53" s="5" t="e">
        <f t="shared" si="16"/>
        <v>#VALUE!</v>
      </c>
      <c r="T53" s="299"/>
      <c r="U53" s="299">
        <f t="shared" si="5"/>
        <v>0</v>
      </c>
    </row>
    <row r="54" spans="1:21" x14ac:dyDescent="0.25">
      <c r="A54" s="41" t="s">
        <v>43</v>
      </c>
      <c r="B54" s="219">
        <v>898.58</v>
      </c>
      <c r="C54" s="236">
        <v>677.73</v>
      </c>
      <c r="D54" s="14">
        <v>0.75422333014311471</v>
      </c>
      <c r="E54" s="8"/>
      <c r="F54" s="297"/>
      <c r="G54" s="7" t="e">
        <f t="shared" si="12"/>
        <v>#VALUE!</v>
      </c>
      <c r="H54" s="8"/>
      <c r="I54" s="297"/>
      <c r="J54" s="7" t="e">
        <f t="shared" si="13"/>
        <v>#VALUE!</v>
      </c>
      <c r="K54" s="8"/>
      <c r="L54" s="298"/>
      <c r="M54" s="7" t="e">
        <f t="shared" si="14"/>
        <v>#VALUE!</v>
      </c>
      <c r="N54" s="237"/>
      <c r="O54" s="298"/>
      <c r="P54" s="5" t="e">
        <f t="shared" si="15"/>
        <v>#VALUE!</v>
      </c>
      <c r="Q54" s="237"/>
      <c r="R54" s="298"/>
      <c r="S54" s="5" t="e">
        <f t="shared" si="16"/>
        <v>#VALUE!</v>
      </c>
      <c r="T54" s="299"/>
      <c r="U54" s="299">
        <f t="shared" si="5"/>
        <v>0</v>
      </c>
    </row>
    <row r="55" spans="1:21" x14ac:dyDescent="0.25">
      <c r="A55" s="41" t="s">
        <v>44</v>
      </c>
      <c r="B55" s="219">
        <v>1516.32</v>
      </c>
      <c r="C55" s="236">
        <v>927.29</v>
      </c>
      <c r="D55" s="14">
        <v>0.61153978052126201</v>
      </c>
      <c r="E55" s="8"/>
      <c r="F55" s="297"/>
      <c r="G55" s="7" t="e">
        <f t="shared" ref="G55:G86" si="17">ROUNDUP((E55/$G$5),0)*F55</f>
        <v>#VALUE!</v>
      </c>
      <c r="H55" s="8"/>
      <c r="I55" s="297"/>
      <c r="J55" s="7" t="e">
        <f t="shared" ref="J55:J86" si="18">ROUNDUP((H55/$G$5),0)*I55</f>
        <v>#VALUE!</v>
      </c>
      <c r="K55" s="8"/>
      <c r="L55" s="298"/>
      <c r="M55" s="7" t="e">
        <f t="shared" ref="M55:M86" si="19">ROUNDUP((IF(K55="*",5,K55)/$G$6),0)*L55</f>
        <v>#VALUE!</v>
      </c>
      <c r="N55" s="237"/>
      <c r="O55" s="298"/>
      <c r="P55" s="5" t="e">
        <f t="shared" ref="P55:P86" si="20">ROUNDUP((IF(N55="*",5,N55)/$G$7),0)*O55</f>
        <v>#VALUE!</v>
      </c>
      <c r="Q55" s="237"/>
      <c r="R55" s="298"/>
      <c r="S55" s="5" t="e">
        <f t="shared" ref="S55:S86" si="21">ROUNDUP((IF(Q55="*",5,Q55)/$G$8),0)*R55</f>
        <v>#VALUE!</v>
      </c>
      <c r="T55" s="299"/>
      <c r="U55" s="299">
        <f t="shared" si="5"/>
        <v>0</v>
      </c>
    </row>
    <row r="56" spans="1:21" x14ac:dyDescent="0.25">
      <c r="A56" s="41" t="s">
        <v>45</v>
      </c>
      <c r="B56" s="219">
        <v>2087.65</v>
      </c>
      <c r="C56" s="236">
        <v>1641.59</v>
      </c>
      <c r="D56" s="14">
        <v>0.78633391612578729</v>
      </c>
      <c r="E56" s="8"/>
      <c r="F56" s="297"/>
      <c r="G56" s="7" t="e">
        <f t="shared" si="17"/>
        <v>#VALUE!</v>
      </c>
      <c r="H56" s="8"/>
      <c r="I56" s="297"/>
      <c r="J56" s="7" t="e">
        <f t="shared" si="18"/>
        <v>#VALUE!</v>
      </c>
      <c r="K56" s="8"/>
      <c r="L56" s="298"/>
      <c r="M56" s="7" t="e">
        <f t="shared" si="19"/>
        <v>#VALUE!</v>
      </c>
      <c r="N56" s="237"/>
      <c r="O56" s="298"/>
      <c r="P56" s="5" t="e">
        <f t="shared" si="20"/>
        <v>#VALUE!</v>
      </c>
      <c r="Q56" s="237"/>
      <c r="R56" s="298"/>
      <c r="S56" s="5" t="e">
        <f t="shared" si="21"/>
        <v>#VALUE!</v>
      </c>
      <c r="T56" s="299"/>
      <c r="U56" s="299">
        <f t="shared" si="5"/>
        <v>0</v>
      </c>
    </row>
    <row r="57" spans="1:21" x14ac:dyDescent="0.25">
      <c r="A57" s="41" t="s">
        <v>46</v>
      </c>
      <c r="B57" s="219">
        <v>662.1</v>
      </c>
      <c r="C57" s="236">
        <v>607.41</v>
      </c>
      <c r="D57" s="14">
        <v>0.91739918441323054</v>
      </c>
      <c r="E57" s="8"/>
      <c r="F57" s="297"/>
      <c r="G57" s="7" t="e">
        <f t="shared" si="17"/>
        <v>#VALUE!</v>
      </c>
      <c r="H57" s="8"/>
      <c r="I57" s="297"/>
      <c r="J57" s="7" t="e">
        <f t="shared" si="18"/>
        <v>#VALUE!</v>
      </c>
      <c r="K57" s="8"/>
      <c r="L57" s="298"/>
      <c r="M57" s="7" t="e">
        <f t="shared" si="19"/>
        <v>#VALUE!</v>
      </c>
      <c r="N57" s="237"/>
      <c r="O57" s="298"/>
      <c r="P57" s="5" t="e">
        <f t="shared" si="20"/>
        <v>#VALUE!</v>
      </c>
      <c r="Q57" s="237"/>
      <c r="R57" s="298"/>
      <c r="S57" s="5" t="e">
        <f t="shared" si="21"/>
        <v>#VALUE!</v>
      </c>
      <c r="T57" s="299"/>
      <c r="U57" s="299">
        <f t="shared" si="5"/>
        <v>0</v>
      </c>
    </row>
    <row r="58" spans="1:21" x14ac:dyDescent="0.25">
      <c r="A58" s="41" t="s">
        <v>47</v>
      </c>
      <c r="B58" s="219">
        <v>43529.94</v>
      </c>
      <c r="C58" s="236">
        <v>28552.12</v>
      </c>
      <c r="D58" s="14">
        <v>0.65591912141390496</v>
      </c>
      <c r="E58" s="8"/>
      <c r="F58" s="297"/>
      <c r="G58" s="7" t="e">
        <f t="shared" si="17"/>
        <v>#VALUE!</v>
      </c>
      <c r="H58" s="8"/>
      <c r="I58" s="297"/>
      <c r="J58" s="7" t="e">
        <f t="shared" si="18"/>
        <v>#VALUE!</v>
      </c>
      <c r="K58" s="8"/>
      <c r="L58" s="298"/>
      <c r="M58" s="7" t="e">
        <f t="shared" si="19"/>
        <v>#VALUE!</v>
      </c>
      <c r="N58" s="237"/>
      <c r="O58" s="298"/>
      <c r="P58" s="5" t="e">
        <f t="shared" si="20"/>
        <v>#VALUE!</v>
      </c>
      <c r="Q58" s="237"/>
      <c r="R58" s="298"/>
      <c r="S58" s="5" t="e">
        <f t="shared" si="21"/>
        <v>#VALUE!</v>
      </c>
      <c r="T58" s="299"/>
      <c r="U58" s="299">
        <f t="shared" si="5"/>
        <v>0</v>
      </c>
    </row>
    <row r="59" spans="1:21" x14ac:dyDescent="0.25">
      <c r="A59" s="41" t="s">
        <v>48</v>
      </c>
      <c r="B59" s="219">
        <v>2404.8000000000002</v>
      </c>
      <c r="C59" s="236">
        <v>2167.39</v>
      </c>
      <c r="D59" s="14">
        <v>0.90127661343978693</v>
      </c>
      <c r="E59" s="8"/>
      <c r="F59" s="297"/>
      <c r="G59" s="7" t="e">
        <f t="shared" si="17"/>
        <v>#VALUE!</v>
      </c>
      <c r="H59" s="8"/>
      <c r="I59" s="297"/>
      <c r="J59" s="7" t="e">
        <f t="shared" si="18"/>
        <v>#VALUE!</v>
      </c>
      <c r="K59" s="8"/>
      <c r="L59" s="298"/>
      <c r="M59" s="7" t="e">
        <f t="shared" si="19"/>
        <v>#VALUE!</v>
      </c>
      <c r="N59" s="237"/>
      <c r="O59" s="298"/>
      <c r="P59" s="5" t="e">
        <f t="shared" si="20"/>
        <v>#VALUE!</v>
      </c>
      <c r="Q59" s="237"/>
      <c r="R59" s="298"/>
      <c r="S59" s="5" t="e">
        <f t="shared" si="21"/>
        <v>#VALUE!</v>
      </c>
      <c r="T59" s="299"/>
      <c r="U59" s="299">
        <f t="shared" si="5"/>
        <v>0</v>
      </c>
    </row>
    <row r="60" spans="1:21" x14ac:dyDescent="0.25">
      <c r="A60" s="41" t="s">
        <v>49</v>
      </c>
      <c r="B60" s="219">
        <v>10525.82</v>
      </c>
      <c r="C60" s="236">
        <v>6404.09</v>
      </c>
      <c r="D60" s="14">
        <v>0.60841720645042385</v>
      </c>
      <c r="E60" s="8"/>
      <c r="F60" s="297"/>
      <c r="G60" s="7" t="e">
        <f t="shared" si="17"/>
        <v>#VALUE!</v>
      </c>
      <c r="H60" s="8"/>
      <c r="I60" s="297"/>
      <c r="J60" s="7" t="e">
        <f t="shared" si="18"/>
        <v>#VALUE!</v>
      </c>
      <c r="K60" s="8"/>
      <c r="L60" s="298"/>
      <c r="M60" s="7" t="e">
        <f t="shared" si="19"/>
        <v>#VALUE!</v>
      </c>
      <c r="N60" s="237"/>
      <c r="O60" s="298"/>
      <c r="P60" s="5" t="e">
        <f t="shared" si="20"/>
        <v>#VALUE!</v>
      </c>
      <c r="Q60" s="237"/>
      <c r="R60" s="298"/>
      <c r="S60" s="5" t="e">
        <f t="shared" si="21"/>
        <v>#VALUE!</v>
      </c>
      <c r="T60" s="299"/>
      <c r="U60" s="299">
        <f t="shared" si="5"/>
        <v>0</v>
      </c>
    </row>
    <row r="61" spans="1:21" x14ac:dyDescent="0.25">
      <c r="A61" s="41" t="s">
        <v>50</v>
      </c>
      <c r="B61" s="219">
        <v>13258.42</v>
      </c>
      <c r="C61" s="236">
        <v>7286.27</v>
      </c>
      <c r="D61" s="14">
        <v>0.54955794129315561</v>
      </c>
      <c r="E61" s="8"/>
      <c r="F61" s="297"/>
      <c r="G61" s="7" t="e">
        <f t="shared" si="17"/>
        <v>#VALUE!</v>
      </c>
      <c r="H61" s="8"/>
      <c r="I61" s="297"/>
      <c r="J61" s="7" t="e">
        <f t="shared" si="18"/>
        <v>#VALUE!</v>
      </c>
      <c r="K61" s="8"/>
      <c r="L61" s="298"/>
      <c r="M61" s="7" t="e">
        <f t="shared" si="19"/>
        <v>#VALUE!</v>
      </c>
      <c r="N61" s="237"/>
      <c r="O61" s="298"/>
      <c r="P61" s="5" t="e">
        <f t="shared" si="20"/>
        <v>#VALUE!</v>
      </c>
      <c r="Q61" s="237"/>
      <c r="R61" s="298"/>
      <c r="S61" s="5" t="e">
        <f t="shared" si="21"/>
        <v>#VALUE!</v>
      </c>
      <c r="T61" s="299"/>
      <c r="U61" s="299">
        <f t="shared" si="5"/>
        <v>0</v>
      </c>
    </row>
    <row r="62" spans="1:21" x14ac:dyDescent="0.25">
      <c r="A62" s="41" t="s">
        <v>51</v>
      </c>
      <c r="B62" s="219">
        <v>5388.16</v>
      </c>
      <c r="C62" s="236">
        <v>4016.61</v>
      </c>
      <c r="D62" s="14">
        <v>0.74545113730846901</v>
      </c>
      <c r="E62" s="8"/>
      <c r="F62" s="297"/>
      <c r="G62" s="7" t="e">
        <f t="shared" si="17"/>
        <v>#VALUE!</v>
      </c>
      <c r="H62" s="8"/>
      <c r="I62" s="297"/>
      <c r="J62" s="7" t="e">
        <f t="shared" si="18"/>
        <v>#VALUE!</v>
      </c>
      <c r="K62" s="8"/>
      <c r="L62" s="298"/>
      <c r="M62" s="7" t="e">
        <f t="shared" si="19"/>
        <v>#VALUE!</v>
      </c>
      <c r="N62" s="237"/>
      <c r="O62" s="298"/>
      <c r="P62" s="5" t="e">
        <f t="shared" si="20"/>
        <v>#VALUE!</v>
      </c>
      <c r="Q62" s="237"/>
      <c r="R62" s="298"/>
      <c r="S62" s="5" t="e">
        <f t="shared" si="21"/>
        <v>#VALUE!</v>
      </c>
      <c r="T62" s="299"/>
      <c r="U62" s="299">
        <f t="shared" si="5"/>
        <v>0</v>
      </c>
    </row>
    <row r="63" spans="1:21" x14ac:dyDescent="0.25">
      <c r="A63" s="41" t="s">
        <v>52</v>
      </c>
      <c r="B63" s="219">
        <v>2979.52</v>
      </c>
      <c r="C63" s="236">
        <v>2390.0300000000002</v>
      </c>
      <c r="D63" s="14">
        <v>0.80215269573622605</v>
      </c>
      <c r="E63" s="8"/>
      <c r="F63" s="297"/>
      <c r="G63" s="7" t="e">
        <f t="shared" si="17"/>
        <v>#VALUE!</v>
      </c>
      <c r="H63" s="8"/>
      <c r="I63" s="297"/>
      <c r="J63" s="7" t="e">
        <f t="shared" si="18"/>
        <v>#VALUE!</v>
      </c>
      <c r="K63" s="8"/>
      <c r="L63" s="298"/>
      <c r="M63" s="7" t="e">
        <f t="shared" si="19"/>
        <v>#VALUE!</v>
      </c>
      <c r="N63" s="237"/>
      <c r="O63" s="298"/>
      <c r="P63" s="5" t="e">
        <f t="shared" si="20"/>
        <v>#VALUE!</v>
      </c>
      <c r="Q63" s="237"/>
      <c r="R63" s="298"/>
      <c r="S63" s="5" t="e">
        <f t="shared" si="21"/>
        <v>#VALUE!</v>
      </c>
      <c r="T63" s="299"/>
      <c r="U63" s="299">
        <f t="shared" si="5"/>
        <v>0</v>
      </c>
    </row>
    <row r="64" spans="1:21" x14ac:dyDescent="0.25">
      <c r="A64" s="41" t="s">
        <v>53</v>
      </c>
      <c r="B64" s="219">
        <v>1729.85</v>
      </c>
      <c r="C64" s="236">
        <v>1597.53</v>
      </c>
      <c r="D64" s="14">
        <v>0.92350781859698816</v>
      </c>
      <c r="E64" s="8"/>
      <c r="F64" s="297"/>
      <c r="G64" s="7" t="e">
        <f t="shared" si="17"/>
        <v>#VALUE!</v>
      </c>
      <c r="H64" s="8"/>
      <c r="I64" s="297"/>
      <c r="J64" s="7" t="e">
        <f t="shared" si="18"/>
        <v>#VALUE!</v>
      </c>
      <c r="K64" s="8"/>
      <c r="L64" s="298"/>
      <c r="M64" s="7" t="e">
        <f t="shared" si="19"/>
        <v>#VALUE!</v>
      </c>
      <c r="N64" s="237"/>
      <c r="O64" s="298"/>
      <c r="P64" s="5" t="e">
        <f t="shared" si="20"/>
        <v>#VALUE!</v>
      </c>
      <c r="Q64" s="237"/>
      <c r="R64" s="298"/>
      <c r="S64" s="5" t="e">
        <f t="shared" si="21"/>
        <v>#VALUE!</v>
      </c>
      <c r="T64" s="299"/>
      <c r="U64" s="299">
        <f t="shared" si="5"/>
        <v>0</v>
      </c>
    </row>
    <row r="65" spans="1:21" x14ac:dyDescent="0.25">
      <c r="A65" s="41" t="s">
        <v>54</v>
      </c>
      <c r="B65" s="219">
        <v>25998.85</v>
      </c>
      <c r="C65" s="236">
        <v>11560.42</v>
      </c>
      <c r="D65" s="14">
        <v>0.44465120572640715</v>
      </c>
      <c r="E65" s="8"/>
      <c r="F65" s="297"/>
      <c r="G65" s="7" t="e">
        <f t="shared" si="17"/>
        <v>#VALUE!</v>
      </c>
      <c r="H65" s="8"/>
      <c r="I65" s="297"/>
      <c r="J65" s="7" t="e">
        <f t="shared" si="18"/>
        <v>#VALUE!</v>
      </c>
      <c r="K65" s="8"/>
      <c r="L65" s="298"/>
      <c r="M65" s="7" t="e">
        <f t="shared" si="19"/>
        <v>#VALUE!</v>
      </c>
      <c r="N65" s="237"/>
      <c r="O65" s="298"/>
      <c r="P65" s="5" t="e">
        <f t="shared" si="20"/>
        <v>#VALUE!</v>
      </c>
      <c r="Q65" s="237"/>
      <c r="R65" s="298"/>
      <c r="S65" s="5" t="e">
        <f t="shared" si="21"/>
        <v>#VALUE!</v>
      </c>
      <c r="T65" s="299"/>
      <c r="U65" s="299">
        <f t="shared" si="5"/>
        <v>0</v>
      </c>
    </row>
    <row r="66" spans="1:21" x14ac:dyDescent="0.25">
      <c r="A66" s="41" t="s">
        <v>55</v>
      </c>
      <c r="B66" s="219">
        <v>8632.56</v>
      </c>
      <c r="C66" s="236">
        <v>6583.08</v>
      </c>
      <c r="D66" s="14">
        <v>0.76258722789068367</v>
      </c>
      <c r="E66" s="8"/>
      <c r="F66" s="297"/>
      <c r="G66" s="7" t="e">
        <f t="shared" si="17"/>
        <v>#VALUE!</v>
      </c>
      <c r="H66" s="8"/>
      <c r="I66" s="297"/>
      <c r="J66" s="7" t="e">
        <f t="shared" si="18"/>
        <v>#VALUE!</v>
      </c>
      <c r="K66" s="8"/>
      <c r="L66" s="298"/>
      <c r="M66" s="7" t="e">
        <f t="shared" si="19"/>
        <v>#VALUE!</v>
      </c>
      <c r="N66" s="237"/>
      <c r="O66" s="298"/>
      <c r="P66" s="5" t="e">
        <f t="shared" si="20"/>
        <v>#VALUE!</v>
      </c>
      <c r="Q66" s="237"/>
      <c r="R66" s="298"/>
      <c r="S66" s="5" t="e">
        <f t="shared" si="21"/>
        <v>#VALUE!</v>
      </c>
      <c r="T66" s="299"/>
      <c r="U66" s="299">
        <f t="shared" si="5"/>
        <v>0</v>
      </c>
    </row>
    <row r="67" spans="1:21" x14ac:dyDescent="0.25">
      <c r="A67" s="41" t="s">
        <v>56</v>
      </c>
      <c r="B67" s="219">
        <v>1939.18</v>
      </c>
      <c r="C67" s="236">
        <v>1384.39</v>
      </c>
      <c r="D67" s="14">
        <v>0.71390484637836615</v>
      </c>
      <c r="E67" s="8"/>
      <c r="F67" s="297"/>
      <c r="G67" s="7" t="e">
        <f t="shared" si="17"/>
        <v>#VALUE!</v>
      </c>
      <c r="H67" s="8"/>
      <c r="I67" s="297"/>
      <c r="J67" s="7" t="e">
        <f t="shared" si="18"/>
        <v>#VALUE!</v>
      </c>
      <c r="K67" s="8"/>
      <c r="L67" s="298"/>
      <c r="M67" s="7" t="e">
        <f t="shared" si="19"/>
        <v>#VALUE!</v>
      </c>
      <c r="N67" s="237"/>
      <c r="O67" s="298"/>
      <c r="P67" s="5" t="e">
        <f t="shared" si="20"/>
        <v>#VALUE!</v>
      </c>
      <c r="Q67" s="237"/>
      <c r="R67" s="298"/>
      <c r="S67" s="5" t="e">
        <f t="shared" si="21"/>
        <v>#VALUE!</v>
      </c>
      <c r="T67" s="299"/>
      <c r="U67" s="299">
        <f t="shared" si="5"/>
        <v>0</v>
      </c>
    </row>
    <row r="68" spans="1:21" x14ac:dyDescent="0.25">
      <c r="A68" s="41" t="s">
        <v>57</v>
      </c>
      <c r="B68" s="219">
        <v>3124.12</v>
      </c>
      <c r="C68" s="236">
        <v>2504.67</v>
      </c>
      <c r="D68" s="14">
        <v>0.80172016439829463</v>
      </c>
      <c r="E68" s="8"/>
      <c r="F68" s="297"/>
      <c r="G68" s="7" t="e">
        <f t="shared" si="17"/>
        <v>#VALUE!</v>
      </c>
      <c r="H68" s="8"/>
      <c r="I68" s="297"/>
      <c r="J68" s="7" t="e">
        <f t="shared" si="18"/>
        <v>#VALUE!</v>
      </c>
      <c r="K68" s="8"/>
      <c r="L68" s="298"/>
      <c r="M68" s="7" t="e">
        <f t="shared" si="19"/>
        <v>#VALUE!</v>
      </c>
      <c r="N68" s="237"/>
      <c r="O68" s="298"/>
      <c r="P68" s="5" t="e">
        <f t="shared" si="20"/>
        <v>#VALUE!</v>
      </c>
      <c r="Q68" s="237"/>
      <c r="R68" s="298"/>
      <c r="S68" s="5" t="e">
        <f t="shared" si="21"/>
        <v>#VALUE!</v>
      </c>
      <c r="T68" s="299"/>
      <c r="U68" s="299">
        <f t="shared" si="5"/>
        <v>0</v>
      </c>
    </row>
    <row r="69" spans="1:21" x14ac:dyDescent="0.25">
      <c r="A69" s="41" t="s">
        <v>58</v>
      </c>
      <c r="B69" s="219">
        <v>16899.259999999998</v>
      </c>
      <c r="C69" s="236">
        <v>7185.6</v>
      </c>
      <c r="D69" s="14">
        <v>0.42520205026728985</v>
      </c>
      <c r="E69" s="8"/>
      <c r="F69" s="297"/>
      <c r="G69" s="7" t="e">
        <f t="shared" si="17"/>
        <v>#VALUE!</v>
      </c>
      <c r="H69" s="8"/>
      <c r="I69" s="297"/>
      <c r="J69" s="7" t="e">
        <f t="shared" si="18"/>
        <v>#VALUE!</v>
      </c>
      <c r="K69" s="8"/>
      <c r="L69" s="298"/>
      <c r="M69" s="7" t="e">
        <f t="shared" si="19"/>
        <v>#VALUE!</v>
      </c>
      <c r="N69" s="237"/>
      <c r="O69" s="298"/>
      <c r="P69" s="5" t="e">
        <f t="shared" si="20"/>
        <v>#VALUE!</v>
      </c>
      <c r="Q69" s="237"/>
      <c r="R69" s="298"/>
      <c r="S69" s="5" t="e">
        <f t="shared" si="21"/>
        <v>#VALUE!</v>
      </c>
      <c r="T69" s="299"/>
      <c r="U69" s="299">
        <f t="shared" si="5"/>
        <v>0</v>
      </c>
    </row>
    <row r="70" spans="1:21" x14ac:dyDescent="0.25">
      <c r="A70" s="41" t="s">
        <v>59</v>
      </c>
      <c r="B70" s="219">
        <v>4230.8599999999997</v>
      </c>
      <c r="C70" s="236">
        <v>3894.1</v>
      </c>
      <c r="D70" s="14">
        <v>0.92040388951655228</v>
      </c>
      <c r="E70" s="8"/>
      <c r="F70" s="297"/>
      <c r="G70" s="7" t="e">
        <f t="shared" si="17"/>
        <v>#VALUE!</v>
      </c>
      <c r="H70" s="8"/>
      <c r="I70" s="297"/>
      <c r="J70" s="7" t="e">
        <f t="shared" si="18"/>
        <v>#VALUE!</v>
      </c>
      <c r="K70" s="8"/>
      <c r="L70" s="298"/>
      <c r="M70" s="7" t="e">
        <f t="shared" si="19"/>
        <v>#VALUE!</v>
      </c>
      <c r="N70" s="237"/>
      <c r="O70" s="298"/>
      <c r="P70" s="5" t="e">
        <f t="shared" si="20"/>
        <v>#VALUE!</v>
      </c>
      <c r="Q70" s="237"/>
      <c r="R70" s="298"/>
      <c r="S70" s="5" t="e">
        <f t="shared" si="21"/>
        <v>#VALUE!</v>
      </c>
      <c r="T70" s="299"/>
      <c r="U70" s="299">
        <f t="shared" si="5"/>
        <v>0</v>
      </c>
    </row>
    <row r="71" spans="1:21" x14ac:dyDescent="0.25">
      <c r="A71" s="41" t="s">
        <v>60</v>
      </c>
      <c r="B71" s="219">
        <v>3684.37</v>
      </c>
      <c r="C71" s="236">
        <v>3216.9</v>
      </c>
      <c r="D71" s="14">
        <v>0.87312077777204788</v>
      </c>
      <c r="E71" s="8"/>
      <c r="F71" s="297"/>
      <c r="G71" s="7" t="e">
        <f t="shared" si="17"/>
        <v>#VALUE!</v>
      </c>
      <c r="H71" s="8"/>
      <c r="I71" s="297"/>
      <c r="J71" s="7" t="e">
        <f t="shared" si="18"/>
        <v>#VALUE!</v>
      </c>
      <c r="K71" s="8"/>
      <c r="L71" s="298"/>
      <c r="M71" s="7" t="e">
        <f t="shared" si="19"/>
        <v>#VALUE!</v>
      </c>
      <c r="N71" s="237"/>
      <c r="O71" s="298"/>
      <c r="P71" s="5" t="e">
        <f t="shared" si="20"/>
        <v>#VALUE!</v>
      </c>
      <c r="Q71" s="237"/>
      <c r="R71" s="298"/>
      <c r="S71" s="5" t="e">
        <f t="shared" si="21"/>
        <v>#VALUE!</v>
      </c>
      <c r="T71" s="299"/>
      <c r="U71" s="299">
        <f t="shared" si="5"/>
        <v>0</v>
      </c>
    </row>
    <row r="72" spans="1:21" x14ac:dyDescent="0.25">
      <c r="A72" s="41" t="s">
        <v>61</v>
      </c>
      <c r="B72" s="219">
        <v>665.85</v>
      </c>
      <c r="C72" s="236">
        <v>557.95000000000005</v>
      </c>
      <c r="D72" s="14">
        <v>0.83795149057595564</v>
      </c>
      <c r="E72" s="8"/>
      <c r="F72" s="297"/>
      <c r="G72" s="7" t="e">
        <f t="shared" si="17"/>
        <v>#VALUE!</v>
      </c>
      <c r="H72" s="8"/>
      <c r="I72" s="297"/>
      <c r="J72" s="7" t="e">
        <f t="shared" si="18"/>
        <v>#VALUE!</v>
      </c>
      <c r="K72" s="8"/>
      <c r="L72" s="298"/>
      <c r="M72" s="7" t="e">
        <f t="shared" si="19"/>
        <v>#VALUE!</v>
      </c>
      <c r="N72" s="237"/>
      <c r="O72" s="298"/>
      <c r="P72" s="5" t="e">
        <f t="shared" si="20"/>
        <v>#VALUE!</v>
      </c>
      <c r="Q72" s="237"/>
      <c r="R72" s="298"/>
      <c r="S72" s="5" t="e">
        <f t="shared" si="21"/>
        <v>#VALUE!</v>
      </c>
      <c r="T72" s="299"/>
      <c r="U72" s="299">
        <f t="shared" si="5"/>
        <v>0</v>
      </c>
    </row>
    <row r="73" spans="1:21" x14ac:dyDescent="0.25">
      <c r="A73" s="41" t="s">
        <v>62</v>
      </c>
      <c r="B73" s="219">
        <v>5751.42</v>
      </c>
      <c r="C73" s="236">
        <v>4084.96</v>
      </c>
      <c r="D73" s="14">
        <v>0.71025242461861593</v>
      </c>
      <c r="E73" s="8"/>
      <c r="F73" s="297"/>
      <c r="G73" s="7" t="e">
        <f t="shared" si="17"/>
        <v>#VALUE!</v>
      </c>
      <c r="H73" s="8"/>
      <c r="I73" s="297"/>
      <c r="J73" s="7" t="e">
        <f t="shared" si="18"/>
        <v>#VALUE!</v>
      </c>
      <c r="K73" s="8"/>
      <c r="L73" s="298"/>
      <c r="M73" s="7" t="e">
        <f t="shared" si="19"/>
        <v>#VALUE!</v>
      </c>
      <c r="N73" s="237"/>
      <c r="O73" s="298"/>
      <c r="P73" s="5" t="e">
        <f t="shared" si="20"/>
        <v>#VALUE!</v>
      </c>
      <c r="Q73" s="237"/>
      <c r="R73" s="298"/>
      <c r="S73" s="5" t="e">
        <f t="shared" si="21"/>
        <v>#VALUE!</v>
      </c>
      <c r="T73" s="299"/>
      <c r="U73" s="299">
        <f t="shared" si="5"/>
        <v>0</v>
      </c>
    </row>
    <row r="74" spans="1:21" x14ac:dyDescent="0.25">
      <c r="A74" s="41" t="s">
        <v>63</v>
      </c>
      <c r="B74" s="219">
        <v>10099.5</v>
      </c>
      <c r="C74" s="236">
        <v>6589.44</v>
      </c>
      <c r="D74" s="14">
        <v>0.65245210158918754</v>
      </c>
      <c r="E74" s="8"/>
      <c r="F74" s="297"/>
      <c r="G74" s="7" t="e">
        <f t="shared" si="17"/>
        <v>#VALUE!</v>
      </c>
      <c r="H74" s="8"/>
      <c r="I74" s="297"/>
      <c r="J74" s="7" t="e">
        <f t="shared" si="18"/>
        <v>#VALUE!</v>
      </c>
      <c r="K74" s="8"/>
      <c r="L74" s="298"/>
      <c r="M74" s="7" t="e">
        <f t="shared" si="19"/>
        <v>#VALUE!</v>
      </c>
      <c r="N74" s="237"/>
      <c r="O74" s="298"/>
      <c r="P74" s="5" t="e">
        <f t="shared" si="20"/>
        <v>#VALUE!</v>
      </c>
      <c r="Q74" s="237"/>
      <c r="R74" s="298"/>
      <c r="S74" s="5" t="e">
        <f t="shared" si="21"/>
        <v>#VALUE!</v>
      </c>
      <c r="T74" s="299"/>
      <c r="U74" s="299">
        <f t="shared" si="5"/>
        <v>0</v>
      </c>
    </row>
    <row r="75" spans="1:21" x14ac:dyDescent="0.25">
      <c r="A75" s="41" t="s">
        <v>64</v>
      </c>
      <c r="B75" s="219">
        <v>2483.25</v>
      </c>
      <c r="C75" s="236">
        <v>2250.21</v>
      </c>
      <c r="D75" s="14">
        <v>0.9061552401087285</v>
      </c>
      <c r="E75" s="8"/>
      <c r="F75" s="297"/>
      <c r="G75" s="7" t="e">
        <f t="shared" si="17"/>
        <v>#VALUE!</v>
      </c>
      <c r="H75" s="8"/>
      <c r="I75" s="297"/>
      <c r="J75" s="7" t="e">
        <f t="shared" si="18"/>
        <v>#VALUE!</v>
      </c>
      <c r="K75" s="8"/>
      <c r="L75" s="298"/>
      <c r="M75" s="7" t="e">
        <f t="shared" si="19"/>
        <v>#VALUE!</v>
      </c>
      <c r="N75" s="237"/>
      <c r="O75" s="298"/>
      <c r="P75" s="5" t="e">
        <f t="shared" si="20"/>
        <v>#VALUE!</v>
      </c>
      <c r="Q75" s="237"/>
      <c r="R75" s="298"/>
      <c r="S75" s="5" t="e">
        <f t="shared" si="21"/>
        <v>#VALUE!</v>
      </c>
      <c r="T75" s="299"/>
      <c r="U75" s="299">
        <f t="shared" si="5"/>
        <v>0</v>
      </c>
    </row>
    <row r="76" spans="1:21" x14ac:dyDescent="0.25">
      <c r="A76" s="41" t="s">
        <v>65</v>
      </c>
      <c r="B76" s="219">
        <v>3390.2</v>
      </c>
      <c r="C76" s="236">
        <v>2686.84</v>
      </c>
      <c r="D76" s="14">
        <v>0.7925314140758658</v>
      </c>
      <c r="E76" s="8"/>
      <c r="F76" s="297"/>
      <c r="G76" s="7" t="e">
        <f t="shared" si="17"/>
        <v>#VALUE!</v>
      </c>
      <c r="H76" s="8"/>
      <c r="I76" s="297"/>
      <c r="J76" s="7" t="e">
        <f t="shared" si="18"/>
        <v>#VALUE!</v>
      </c>
      <c r="K76" s="8"/>
      <c r="L76" s="298"/>
      <c r="M76" s="7" t="e">
        <f t="shared" si="19"/>
        <v>#VALUE!</v>
      </c>
      <c r="N76" s="237"/>
      <c r="O76" s="298"/>
      <c r="P76" s="5" t="e">
        <f t="shared" si="20"/>
        <v>#VALUE!</v>
      </c>
      <c r="Q76" s="237"/>
      <c r="R76" s="298"/>
      <c r="S76" s="5" t="e">
        <f t="shared" si="21"/>
        <v>#VALUE!</v>
      </c>
      <c r="T76" s="299"/>
      <c r="U76" s="299">
        <f t="shared" si="5"/>
        <v>0</v>
      </c>
    </row>
    <row r="77" spans="1:21" x14ac:dyDescent="0.25">
      <c r="A77" s="41" t="s">
        <v>66</v>
      </c>
      <c r="B77" s="219">
        <v>6118.74</v>
      </c>
      <c r="C77" s="236">
        <v>5379.45</v>
      </c>
      <c r="D77" s="14">
        <v>0.87917610488433895</v>
      </c>
      <c r="E77" s="8"/>
      <c r="F77" s="297"/>
      <c r="G77" s="7" t="e">
        <f t="shared" si="17"/>
        <v>#VALUE!</v>
      </c>
      <c r="H77" s="8"/>
      <c r="I77" s="297"/>
      <c r="J77" s="7" t="e">
        <f t="shared" si="18"/>
        <v>#VALUE!</v>
      </c>
      <c r="K77" s="8"/>
      <c r="L77" s="298"/>
      <c r="M77" s="7" t="e">
        <f t="shared" si="19"/>
        <v>#VALUE!</v>
      </c>
      <c r="N77" s="237"/>
      <c r="O77" s="298"/>
      <c r="P77" s="5" t="e">
        <f t="shared" si="20"/>
        <v>#VALUE!</v>
      </c>
      <c r="Q77" s="237"/>
      <c r="R77" s="298"/>
      <c r="S77" s="5" t="e">
        <f t="shared" si="21"/>
        <v>#VALUE!</v>
      </c>
      <c r="T77" s="299"/>
      <c r="U77" s="299">
        <f t="shared" si="5"/>
        <v>0</v>
      </c>
    </row>
    <row r="78" spans="1:21" x14ac:dyDescent="0.25">
      <c r="A78" s="41" t="s">
        <v>67</v>
      </c>
      <c r="B78" s="219">
        <v>15618.17</v>
      </c>
      <c r="C78" s="236">
        <v>9318.2800000000007</v>
      </c>
      <c r="D78" s="14">
        <v>0.59663071921998545</v>
      </c>
      <c r="E78" s="8"/>
      <c r="F78" s="297"/>
      <c r="G78" s="7" t="e">
        <f t="shared" si="17"/>
        <v>#VALUE!</v>
      </c>
      <c r="H78" s="8"/>
      <c r="I78" s="297"/>
      <c r="J78" s="7" t="e">
        <f t="shared" si="18"/>
        <v>#VALUE!</v>
      </c>
      <c r="K78" s="8"/>
      <c r="L78" s="298"/>
      <c r="M78" s="7" t="e">
        <f t="shared" si="19"/>
        <v>#VALUE!</v>
      </c>
      <c r="N78" s="237"/>
      <c r="O78" s="298"/>
      <c r="P78" s="5" t="e">
        <f t="shared" si="20"/>
        <v>#VALUE!</v>
      </c>
      <c r="Q78" s="237"/>
      <c r="R78" s="298"/>
      <c r="S78" s="5" t="e">
        <f t="shared" si="21"/>
        <v>#VALUE!</v>
      </c>
      <c r="T78" s="299"/>
      <c r="U78" s="299">
        <f t="shared" si="5"/>
        <v>0</v>
      </c>
    </row>
    <row r="79" spans="1:21" x14ac:dyDescent="0.25">
      <c r="A79" s="41" t="s">
        <v>68</v>
      </c>
      <c r="B79" s="219">
        <v>22502.1</v>
      </c>
      <c r="C79" s="236">
        <v>17146.64</v>
      </c>
      <c r="D79" s="14">
        <v>0.76200176872380798</v>
      </c>
      <c r="E79" s="8"/>
      <c r="F79" s="297"/>
      <c r="G79" s="7" t="e">
        <f t="shared" si="17"/>
        <v>#VALUE!</v>
      </c>
      <c r="H79" s="8"/>
      <c r="I79" s="297"/>
      <c r="J79" s="7" t="e">
        <f t="shared" si="18"/>
        <v>#VALUE!</v>
      </c>
      <c r="K79" s="8"/>
      <c r="L79" s="298"/>
      <c r="M79" s="7" t="e">
        <f t="shared" si="19"/>
        <v>#VALUE!</v>
      </c>
      <c r="N79" s="237"/>
      <c r="O79" s="298"/>
      <c r="P79" s="5" t="e">
        <f t="shared" si="20"/>
        <v>#VALUE!</v>
      </c>
      <c r="Q79" s="237"/>
      <c r="R79" s="298"/>
      <c r="S79" s="5" t="e">
        <f t="shared" si="21"/>
        <v>#VALUE!</v>
      </c>
      <c r="T79" s="299"/>
      <c r="U79" s="299">
        <f t="shared" si="5"/>
        <v>0</v>
      </c>
    </row>
    <row r="80" spans="1:21" x14ac:dyDescent="0.25">
      <c r="A80" s="41" t="s">
        <v>69</v>
      </c>
      <c r="B80" s="219">
        <v>27586.57</v>
      </c>
      <c r="C80" s="236">
        <v>15039.74</v>
      </c>
      <c r="D80" s="14">
        <v>0.54518339902351032</v>
      </c>
      <c r="E80" s="8"/>
      <c r="F80" s="297"/>
      <c r="G80" s="7" t="e">
        <f t="shared" si="17"/>
        <v>#VALUE!</v>
      </c>
      <c r="H80" s="8"/>
      <c r="I80" s="297"/>
      <c r="J80" s="7" t="e">
        <f t="shared" si="18"/>
        <v>#VALUE!</v>
      </c>
      <c r="K80" s="8"/>
      <c r="L80" s="298"/>
      <c r="M80" s="7" t="e">
        <f t="shared" si="19"/>
        <v>#VALUE!</v>
      </c>
      <c r="N80" s="237"/>
      <c r="O80" s="298"/>
      <c r="P80" s="5" t="e">
        <f t="shared" si="20"/>
        <v>#VALUE!</v>
      </c>
      <c r="Q80" s="237"/>
      <c r="R80" s="298"/>
      <c r="S80" s="5" t="e">
        <f t="shared" si="21"/>
        <v>#VALUE!</v>
      </c>
      <c r="T80" s="299"/>
      <c r="U80" s="299">
        <f t="shared" si="5"/>
        <v>0</v>
      </c>
    </row>
    <row r="81" spans="1:21" x14ac:dyDescent="0.25">
      <c r="A81" s="41" t="s">
        <v>70</v>
      </c>
      <c r="B81" s="219">
        <v>2197.3200000000002</v>
      </c>
      <c r="C81" s="236">
        <v>1682.59</v>
      </c>
      <c r="D81" s="14">
        <v>0.76574645477217695</v>
      </c>
      <c r="E81" s="8"/>
      <c r="F81" s="297"/>
      <c r="G81" s="7" t="e">
        <f t="shared" si="17"/>
        <v>#VALUE!</v>
      </c>
      <c r="H81" s="8"/>
      <c r="I81" s="297"/>
      <c r="J81" s="7" t="e">
        <f t="shared" si="18"/>
        <v>#VALUE!</v>
      </c>
      <c r="K81" s="8"/>
      <c r="L81" s="298"/>
      <c r="M81" s="7" t="e">
        <f t="shared" si="19"/>
        <v>#VALUE!</v>
      </c>
      <c r="N81" s="237"/>
      <c r="O81" s="298"/>
      <c r="P81" s="5" t="e">
        <f t="shared" si="20"/>
        <v>#VALUE!</v>
      </c>
      <c r="Q81" s="237"/>
      <c r="R81" s="298"/>
      <c r="S81" s="5" t="e">
        <f t="shared" si="21"/>
        <v>#VALUE!</v>
      </c>
      <c r="T81" s="299"/>
      <c r="U81" s="299">
        <f t="shared" ref="U81:U96" si="22">T81*$B$7</f>
        <v>0</v>
      </c>
    </row>
    <row r="82" spans="1:21" x14ac:dyDescent="0.25">
      <c r="A82" s="41" t="s">
        <v>71</v>
      </c>
      <c r="B82" s="219">
        <v>4904.8</v>
      </c>
      <c r="C82" s="236">
        <v>2789.85</v>
      </c>
      <c r="D82" s="14">
        <v>0.56879995106834114</v>
      </c>
      <c r="E82" s="8"/>
      <c r="F82" s="297"/>
      <c r="G82" s="7" t="e">
        <f t="shared" si="17"/>
        <v>#VALUE!</v>
      </c>
      <c r="H82" s="8"/>
      <c r="I82" s="297"/>
      <c r="J82" s="7" t="e">
        <f t="shared" si="18"/>
        <v>#VALUE!</v>
      </c>
      <c r="K82" s="8"/>
      <c r="L82" s="298"/>
      <c r="M82" s="7" t="e">
        <f t="shared" si="19"/>
        <v>#VALUE!</v>
      </c>
      <c r="N82" s="237"/>
      <c r="O82" s="298"/>
      <c r="P82" s="5" t="e">
        <f t="shared" si="20"/>
        <v>#VALUE!</v>
      </c>
      <c r="Q82" s="237"/>
      <c r="R82" s="298"/>
      <c r="S82" s="5" t="e">
        <f t="shared" si="21"/>
        <v>#VALUE!</v>
      </c>
      <c r="T82" s="299"/>
      <c r="U82" s="299">
        <f t="shared" si="22"/>
        <v>0</v>
      </c>
    </row>
    <row r="83" spans="1:21" x14ac:dyDescent="0.25">
      <c r="A83" s="41" t="s">
        <v>72</v>
      </c>
      <c r="B83" s="219">
        <v>9921.15</v>
      </c>
      <c r="C83" s="236">
        <v>5800.34</v>
      </c>
      <c r="D83" s="14">
        <v>0.58464391728781451</v>
      </c>
      <c r="E83" s="8"/>
      <c r="F83" s="297"/>
      <c r="G83" s="7" t="e">
        <f t="shared" si="17"/>
        <v>#VALUE!</v>
      </c>
      <c r="H83" s="8"/>
      <c r="I83" s="297"/>
      <c r="J83" s="7" t="e">
        <f t="shared" si="18"/>
        <v>#VALUE!</v>
      </c>
      <c r="K83" s="8"/>
      <c r="L83" s="298"/>
      <c r="M83" s="7" t="e">
        <f t="shared" si="19"/>
        <v>#VALUE!</v>
      </c>
      <c r="N83" s="237"/>
      <c r="O83" s="298"/>
      <c r="P83" s="5" t="e">
        <f t="shared" si="20"/>
        <v>#VALUE!</v>
      </c>
      <c r="Q83" s="237"/>
      <c r="R83" s="298"/>
      <c r="S83" s="5" t="e">
        <f t="shared" si="21"/>
        <v>#VALUE!</v>
      </c>
      <c r="T83" s="299"/>
      <c r="U83" s="299">
        <f t="shared" si="22"/>
        <v>0</v>
      </c>
    </row>
    <row r="84" spans="1:21" x14ac:dyDescent="0.25">
      <c r="A84" s="41" t="s">
        <v>73</v>
      </c>
      <c r="B84" s="219">
        <v>2737.16</v>
      </c>
      <c r="C84" s="236">
        <v>1943.24</v>
      </c>
      <c r="D84" s="14">
        <v>0.70994753686302592</v>
      </c>
      <c r="E84" s="8"/>
      <c r="F84" s="297"/>
      <c r="G84" s="7" t="e">
        <f t="shared" si="17"/>
        <v>#VALUE!</v>
      </c>
      <c r="H84" s="8"/>
      <c r="I84" s="297"/>
      <c r="J84" s="7" t="e">
        <f t="shared" si="18"/>
        <v>#VALUE!</v>
      </c>
      <c r="K84" s="8"/>
      <c r="L84" s="298"/>
      <c r="M84" s="7" t="e">
        <f t="shared" si="19"/>
        <v>#VALUE!</v>
      </c>
      <c r="N84" s="237"/>
      <c r="O84" s="298"/>
      <c r="P84" s="5" t="e">
        <f t="shared" si="20"/>
        <v>#VALUE!</v>
      </c>
      <c r="Q84" s="237"/>
      <c r="R84" s="298"/>
      <c r="S84" s="5" t="e">
        <f t="shared" si="21"/>
        <v>#VALUE!</v>
      </c>
      <c r="T84" s="299"/>
      <c r="U84" s="299">
        <f t="shared" si="22"/>
        <v>0</v>
      </c>
    </row>
    <row r="85" spans="1:21" x14ac:dyDescent="0.25">
      <c r="A85" s="41" t="s">
        <v>74</v>
      </c>
      <c r="B85" s="219">
        <v>2669.43</v>
      </c>
      <c r="C85" s="236">
        <v>1792.49</v>
      </c>
      <c r="D85" s="14">
        <v>0.6714879206422345</v>
      </c>
      <c r="E85" s="8"/>
      <c r="F85" s="297"/>
      <c r="G85" s="7" t="e">
        <f t="shared" si="17"/>
        <v>#VALUE!</v>
      </c>
      <c r="H85" s="8"/>
      <c r="I85" s="297"/>
      <c r="J85" s="7" t="e">
        <f t="shared" si="18"/>
        <v>#VALUE!</v>
      </c>
      <c r="K85" s="8"/>
      <c r="L85" s="298"/>
      <c r="M85" s="7" t="e">
        <f t="shared" si="19"/>
        <v>#VALUE!</v>
      </c>
      <c r="N85" s="237"/>
      <c r="O85" s="298"/>
      <c r="P85" s="5" t="e">
        <f t="shared" si="20"/>
        <v>#VALUE!</v>
      </c>
      <c r="Q85" s="237"/>
      <c r="R85" s="298"/>
      <c r="S85" s="5" t="e">
        <f t="shared" si="21"/>
        <v>#VALUE!</v>
      </c>
      <c r="T85" s="299"/>
      <c r="U85" s="299">
        <f t="shared" si="22"/>
        <v>0</v>
      </c>
    </row>
    <row r="86" spans="1:21" x14ac:dyDescent="0.25">
      <c r="A86" s="41" t="s">
        <v>75</v>
      </c>
      <c r="B86" s="219">
        <v>8533.4500000000007</v>
      </c>
      <c r="C86" s="236">
        <v>4605.55</v>
      </c>
      <c r="D86" s="14">
        <v>0.5397055118387053</v>
      </c>
      <c r="E86" s="8"/>
      <c r="F86" s="297"/>
      <c r="G86" s="7" t="e">
        <f t="shared" si="17"/>
        <v>#VALUE!</v>
      </c>
      <c r="H86" s="8"/>
      <c r="I86" s="297"/>
      <c r="J86" s="7" t="e">
        <f t="shared" si="18"/>
        <v>#VALUE!</v>
      </c>
      <c r="K86" s="8"/>
      <c r="L86" s="298"/>
      <c r="M86" s="7" t="e">
        <f t="shared" si="19"/>
        <v>#VALUE!</v>
      </c>
      <c r="N86" s="237"/>
      <c r="O86" s="298"/>
      <c r="P86" s="5" t="e">
        <f t="shared" si="20"/>
        <v>#VALUE!</v>
      </c>
      <c r="Q86" s="237"/>
      <c r="R86" s="298"/>
      <c r="S86" s="5" t="e">
        <f t="shared" si="21"/>
        <v>#VALUE!</v>
      </c>
      <c r="T86" s="299"/>
      <c r="U86" s="299">
        <f t="shared" si="22"/>
        <v>0</v>
      </c>
    </row>
    <row r="87" spans="1:21" x14ac:dyDescent="0.25">
      <c r="A87" s="41" t="s">
        <v>76</v>
      </c>
      <c r="B87" s="219">
        <v>10966.62</v>
      </c>
      <c r="C87" s="236">
        <v>7289.33</v>
      </c>
      <c r="D87" s="14">
        <v>0.6646833755523579</v>
      </c>
      <c r="E87" s="8"/>
      <c r="F87" s="297"/>
      <c r="G87" s="7" t="e">
        <f t="shared" ref="G87:G96" si="23">ROUNDUP((E87/$G$5),0)*F87</f>
        <v>#VALUE!</v>
      </c>
      <c r="H87" s="8"/>
      <c r="I87" s="297"/>
      <c r="J87" s="7" t="e">
        <f t="shared" ref="J87:J96" si="24">ROUNDUP((H87/$G$5),0)*I87</f>
        <v>#VALUE!</v>
      </c>
      <c r="K87" s="8"/>
      <c r="L87" s="298"/>
      <c r="M87" s="7" t="e">
        <f t="shared" ref="M87:M96" si="25">ROUNDUP((IF(K87="*",5,K87)/$G$6),0)*L87</f>
        <v>#VALUE!</v>
      </c>
      <c r="N87" s="237"/>
      <c r="O87" s="298"/>
      <c r="P87" s="5" t="e">
        <f t="shared" ref="P87:P96" si="26">ROUNDUP((IF(N87="*",5,N87)/$G$7),0)*O87</f>
        <v>#VALUE!</v>
      </c>
      <c r="Q87" s="237"/>
      <c r="R87" s="298"/>
      <c r="S87" s="5" t="e">
        <f t="shared" ref="S87:S96" si="27">ROUNDUP((IF(Q87="*",5,Q87)/$G$8),0)*R87</f>
        <v>#VALUE!</v>
      </c>
      <c r="T87" s="299"/>
      <c r="U87" s="299">
        <f t="shared" si="22"/>
        <v>0</v>
      </c>
    </row>
    <row r="88" spans="1:21" x14ac:dyDescent="0.25">
      <c r="A88" s="41" t="s">
        <v>77</v>
      </c>
      <c r="B88" s="219">
        <v>7107.44</v>
      </c>
      <c r="C88" s="236">
        <v>5120.8100000000004</v>
      </c>
      <c r="D88" s="14">
        <v>0.72048585707371438</v>
      </c>
      <c r="E88" s="8"/>
      <c r="F88" s="297"/>
      <c r="G88" s="7" t="e">
        <f t="shared" si="23"/>
        <v>#VALUE!</v>
      </c>
      <c r="H88" s="8"/>
      <c r="I88" s="297"/>
      <c r="J88" s="7" t="e">
        <f t="shared" si="24"/>
        <v>#VALUE!</v>
      </c>
      <c r="K88" s="8"/>
      <c r="L88" s="298"/>
      <c r="M88" s="7" t="e">
        <f t="shared" si="25"/>
        <v>#VALUE!</v>
      </c>
      <c r="N88" s="237"/>
      <c r="O88" s="298"/>
      <c r="P88" s="5" t="e">
        <f t="shared" si="26"/>
        <v>#VALUE!</v>
      </c>
      <c r="Q88" s="237"/>
      <c r="R88" s="298"/>
      <c r="S88" s="5" t="e">
        <f t="shared" si="27"/>
        <v>#VALUE!</v>
      </c>
      <c r="T88" s="299"/>
      <c r="U88" s="299">
        <f t="shared" si="22"/>
        <v>0</v>
      </c>
    </row>
    <row r="89" spans="1:21" x14ac:dyDescent="0.25">
      <c r="A89" s="41" t="s">
        <v>78</v>
      </c>
      <c r="B89" s="219">
        <v>15888.61</v>
      </c>
      <c r="C89" s="236">
        <v>11802.21</v>
      </c>
      <c r="D89" s="14">
        <v>0.74280947169072675</v>
      </c>
      <c r="E89" s="8"/>
      <c r="F89" s="297"/>
      <c r="G89" s="7" t="e">
        <f t="shared" si="23"/>
        <v>#VALUE!</v>
      </c>
      <c r="H89" s="8"/>
      <c r="I89" s="297"/>
      <c r="J89" s="7" t="e">
        <f t="shared" si="24"/>
        <v>#VALUE!</v>
      </c>
      <c r="K89" s="8"/>
      <c r="L89" s="298"/>
      <c r="M89" s="7" t="e">
        <f t="shared" si="25"/>
        <v>#VALUE!</v>
      </c>
      <c r="N89" s="237"/>
      <c r="O89" s="298"/>
      <c r="P89" s="5" t="e">
        <f t="shared" si="26"/>
        <v>#VALUE!</v>
      </c>
      <c r="Q89" s="237"/>
      <c r="R89" s="298"/>
      <c r="S89" s="5" t="e">
        <f t="shared" si="27"/>
        <v>#VALUE!</v>
      </c>
      <c r="T89" s="299"/>
      <c r="U89" s="299">
        <f t="shared" si="22"/>
        <v>0</v>
      </c>
    </row>
    <row r="90" spans="1:21" x14ac:dyDescent="0.25">
      <c r="A90" s="41" t="s">
        <v>79</v>
      </c>
      <c r="B90" s="219">
        <v>3787.02</v>
      </c>
      <c r="C90" s="236">
        <v>2926.7</v>
      </c>
      <c r="D90" s="14">
        <v>0.7728240146606038</v>
      </c>
      <c r="E90" s="8"/>
      <c r="F90" s="297"/>
      <c r="G90" s="7" t="e">
        <f t="shared" si="23"/>
        <v>#VALUE!</v>
      </c>
      <c r="H90" s="8"/>
      <c r="I90" s="297"/>
      <c r="J90" s="7" t="e">
        <f t="shared" si="24"/>
        <v>#VALUE!</v>
      </c>
      <c r="K90" s="8"/>
      <c r="L90" s="298"/>
      <c r="M90" s="7" t="e">
        <f t="shared" si="25"/>
        <v>#VALUE!</v>
      </c>
      <c r="N90" s="237"/>
      <c r="O90" s="298"/>
      <c r="P90" s="5" t="e">
        <f t="shared" si="26"/>
        <v>#VALUE!</v>
      </c>
      <c r="Q90" s="237"/>
      <c r="R90" s="298"/>
      <c r="S90" s="5" t="e">
        <f t="shared" si="27"/>
        <v>#VALUE!</v>
      </c>
      <c r="T90" s="299"/>
      <c r="U90" s="299">
        <f t="shared" si="22"/>
        <v>0</v>
      </c>
    </row>
    <row r="91" spans="1:21" x14ac:dyDescent="0.25">
      <c r="A91" s="41" t="s">
        <v>80</v>
      </c>
      <c r="B91" s="219">
        <v>3426.1</v>
      </c>
      <c r="C91" s="236">
        <v>3131.81</v>
      </c>
      <c r="D91" s="14">
        <v>0.91410349960596593</v>
      </c>
      <c r="E91" s="8"/>
      <c r="F91" s="297"/>
      <c r="G91" s="7" t="e">
        <f t="shared" si="23"/>
        <v>#VALUE!</v>
      </c>
      <c r="H91" s="8"/>
      <c r="I91" s="297"/>
      <c r="J91" s="7" t="e">
        <f t="shared" si="24"/>
        <v>#VALUE!</v>
      </c>
      <c r="K91" s="8"/>
      <c r="L91" s="298"/>
      <c r="M91" s="7" t="e">
        <f t="shared" si="25"/>
        <v>#VALUE!</v>
      </c>
      <c r="N91" s="237"/>
      <c r="O91" s="298"/>
      <c r="P91" s="5" t="e">
        <f t="shared" si="26"/>
        <v>#VALUE!</v>
      </c>
      <c r="Q91" s="237"/>
      <c r="R91" s="298"/>
      <c r="S91" s="5" t="e">
        <f t="shared" si="27"/>
        <v>#VALUE!</v>
      </c>
      <c r="T91" s="299"/>
      <c r="U91" s="299">
        <f t="shared" si="22"/>
        <v>0</v>
      </c>
    </row>
    <row r="92" spans="1:21" x14ac:dyDescent="0.25">
      <c r="A92" s="41" t="s">
        <v>81</v>
      </c>
      <c r="B92" s="219">
        <v>4956.4399999999996</v>
      </c>
      <c r="C92" s="236">
        <v>3366.99</v>
      </c>
      <c r="D92" s="14">
        <v>0.67931620275843152</v>
      </c>
      <c r="E92" s="8"/>
      <c r="F92" s="297"/>
      <c r="G92" s="7" t="e">
        <f t="shared" si="23"/>
        <v>#VALUE!</v>
      </c>
      <c r="H92" s="8"/>
      <c r="I92" s="297"/>
      <c r="J92" s="7" t="e">
        <f t="shared" si="24"/>
        <v>#VALUE!</v>
      </c>
      <c r="K92" s="8"/>
      <c r="L92" s="298"/>
      <c r="M92" s="7" t="e">
        <f t="shared" si="25"/>
        <v>#VALUE!</v>
      </c>
      <c r="N92" s="237"/>
      <c r="O92" s="298"/>
      <c r="P92" s="5" t="e">
        <f t="shared" si="26"/>
        <v>#VALUE!</v>
      </c>
      <c r="Q92" s="237"/>
      <c r="R92" s="298"/>
      <c r="S92" s="5" t="e">
        <f t="shared" si="27"/>
        <v>#VALUE!</v>
      </c>
      <c r="T92" s="299"/>
      <c r="U92" s="299">
        <f t="shared" si="22"/>
        <v>0</v>
      </c>
    </row>
    <row r="93" spans="1:21" x14ac:dyDescent="0.25">
      <c r="A93" s="41" t="s">
        <v>82</v>
      </c>
      <c r="B93" s="219">
        <v>7694.47</v>
      </c>
      <c r="C93" s="236">
        <v>2768.93</v>
      </c>
      <c r="D93" s="14">
        <v>0.35985974342612287</v>
      </c>
      <c r="E93" s="8"/>
      <c r="F93" s="297"/>
      <c r="G93" s="7" t="e">
        <f t="shared" si="23"/>
        <v>#VALUE!</v>
      </c>
      <c r="H93" s="8"/>
      <c r="I93" s="297"/>
      <c r="J93" s="7" t="e">
        <f t="shared" si="24"/>
        <v>#VALUE!</v>
      </c>
      <c r="K93" s="8"/>
      <c r="L93" s="298"/>
      <c r="M93" s="7" t="e">
        <f t="shared" si="25"/>
        <v>#VALUE!</v>
      </c>
      <c r="N93" s="237"/>
      <c r="O93" s="298"/>
      <c r="P93" s="5" t="e">
        <f t="shared" si="26"/>
        <v>#VALUE!</v>
      </c>
      <c r="Q93" s="237"/>
      <c r="R93" s="298"/>
      <c r="S93" s="5" t="e">
        <f t="shared" si="27"/>
        <v>#VALUE!</v>
      </c>
      <c r="T93" s="299"/>
      <c r="U93" s="299">
        <f t="shared" si="22"/>
        <v>0</v>
      </c>
    </row>
    <row r="94" spans="1:21" x14ac:dyDescent="0.25">
      <c r="A94" s="41" t="s">
        <v>83</v>
      </c>
      <c r="B94" s="219">
        <v>17132.009999999998</v>
      </c>
      <c r="C94" s="236">
        <v>10493.05</v>
      </c>
      <c r="D94" s="14">
        <v>0.61248213140197794</v>
      </c>
      <c r="E94" s="8"/>
      <c r="F94" s="297"/>
      <c r="G94" s="7" t="e">
        <f t="shared" si="23"/>
        <v>#VALUE!</v>
      </c>
      <c r="H94" s="8"/>
      <c r="I94" s="297"/>
      <c r="J94" s="7" t="e">
        <f t="shared" si="24"/>
        <v>#VALUE!</v>
      </c>
      <c r="K94" s="8"/>
      <c r="L94" s="298"/>
      <c r="M94" s="7" t="e">
        <f t="shared" si="25"/>
        <v>#VALUE!</v>
      </c>
      <c r="N94" s="237"/>
      <c r="O94" s="298"/>
      <c r="P94" s="5" t="e">
        <f t="shared" si="26"/>
        <v>#VALUE!</v>
      </c>
      <c r="Q94" s="237"/>
      <c r="R94" s="298"/>
      <c r="S94" s="5" t="e">
        <f t="shared" si="27"/>
        <v>#VALUE!</v>
      </c>
      <c r="T94" s="299"/>
      <c r="U94" s="299">
        <f t="shared" si="22"/>
        <v>0</v>
      </c>
    </row>
    <row r="95" spans="1:21" x14ac:dyDescent="0.25">
      <c r="A95" s="41" t="s">
        <v>84</v>
      </c>
      <c r="B95" s="219">
        <v>15937.31</v>
      </c>
      <c r="C95" s="236">
        <v>3335.44</v>
      </c>
      <c r="D95" s="14">
        <v>0.2092850048094691</v>
      </c>
      <c r="E95" s="8"/>
      <c r="F95" s="297"/>
      <c r="G95" s="7" t="e">
        <f t="shared" si="23"/>
        <v>#VALUE!</v>
      </c>
      <c r="H95" s="8"/>
      <c r="I95" s="297"/>
      <c r="J95" s="7" t="e">
        <f t="shared" si="24"/>
        <v>#VALUE!</v>
      </c>
      <c r="K95" s="8"/>
      <c r="L95" s="298"/>
      <c r="M95" s="7" t="e">
        <f t="shared" si="25"/>
        <v>#VALUE!</v>
      </c>
      <c r="N95" s="237"/>
      <c r="O95" s="298"/>
      <c r="P95" s="5" t="e">
        <f t="shared" si="26"/>
        <v>#VALUE!</v>
      </c>
      <c r="Q95" s="237"/>
      <c r="R95" s="298"/>
      <c r="S95" s="5" t="e">
        <f t="shared" si="27"/>
        <v>#VALUE!</v>
      </c>
      <c r="T95" s="299"/>
      <c r="U95" s="299">
        <f t="shared" si="22"/>
        <v>0</v>
      </c>
    </row>
    <row r="96" spans="1:21" s="241" customFormat="1" ht="15.75" thickBot="1" x14ac:dyDescent="0.3">
      <c r="A96" s="687" t="s">
        <v>312</v>
      </c>
      <c r="B96" s="593">
        <v>721122.25</v>
      </c>
      <c r="C96" s="594">
        <v>446194.4</v>
      </c>
      <c r="D96" s="595">
        <v>0.61875001083380798</v>
      </c>
      <c r="E96" s="596"/>
      <c r="F96" s="597"/>
      <c r="G96" s="598" t="e">
        <f t="shared" si="23"/>
        <v>#VALUE!</v>
      </c>
      <c r="H96" s="596"/>
      <c r="I96" s="597"/>
      <c r="J96" s="598" t="e">
        <f t="shared" si="24"/>
        <v>#VALUE!</v>
      </c>
      <c r="K96" s="596"/>
      <c r="L96" s="599"/>
      <c r="M96" s="598" t="e">
        <f t="shared" si="25"/>
        <v>#VALUE!</v>
      </c>
      <c r="N96" s="600"/>
      <c r="O96" s="599"/>
      <c r="P96" s="601" t="e">
        <f t="shared" si="26"/>
        <v>#VALUE!</v>
      </c>
      <c r="Q96" s="600"/>
      <c r="R96" s="599"/>
      <c r="S96" s="601" t="e">
        <f t="shared" si="27"/>
        <v>#VALUE!</v>
      </c>
      <c r="T96" s="602"/>
      <c r="U96" s="602">
        <f t="shared" si="22"/>
        <v>0</v>
      </c>
    </row>
    <row r="97" spans="1:17" x14ac:dyDescent="0.25">
      <c r="Q97" s="28"/>
    </row>
    <row r="98" spans="1:17" x14ac:dyDescent="0.25">
      <c r="A98" s="22"/>
      <c r="Q98" s="28"/>
    </row>
    <row r="99" spans="1:17" x14ac:dyDescent="0.25">
      <c r="Q99" s="28"/>
    </row>
    <row r="100" spans="1:17" x14ac:dyDescent="0.25">
      <c r="Q100" s="28"/>
    </row>
  </sheetData>
  <mergeCells count="29">
    <mergeCell ref="B10:U10"/>
    <mergeCell ref="U12:U13"/>
    <mergeCell ref="N11:P11"/>
    <mergeCell ref="N12:N13"/>
    <mergeCell ref="P12:P13"/>
    <mergeCell ref="T12:T13"/>
    <mergeCell ref="T11:U11"/>
    <mergeCell ref="B11:D11"/>
    <mergeCell ref="Q11:S11"/>
    <mergeCell ref="Q12:Q13"/>
    <mergeCell ref="R12:R13"/>
    <mergeCell ref="S12:S13"/>
    <mergeCell ref="K11:M11"/>
    <mergeCell ref="H11:J11"/>
    <mergeCell ref="E11:G11"/>
    <mergeCell ref="A12:A13"/>
    <mergeCell ref="B12:B13"/>
    <mergeCell ref="C12:C13"/>
    <mergeCell ref="D12:D13"/>
    <mergeCell ref="O12:O13"/>
    <mergeCell ref="L12:L13"/>
    <mergeCell ref="E12:E13"/>
    <mergeCell ref="F12:F13"/>
    <mergeCell ref="G12:G13"/>
    <mergeCell ref="H12:H13"/>
    <mergeCell ref="K12:K13"/>
    <mergeCell ref="M12:M13"/>
    <mergeCell ref="I12:I13"/>
    <mergeCell ref="J12:J13"/>
  </mergeCells>
  <conditionalFormatting sqref="Y97:Y1048576">
    <cfRule type="cellIs" dxfId="2" priority="3" operator="lessThan">
      <formula>0</formula>
    </cfRule>
  </conditionalFormatting>
  <conditionalFormatting sqref="U12">
    <cfRule type="cellIs" dxfId="1" priority="1" operator="lessThan">
      <formula>0</formula>
    </cfRule>
  </conditionalFormatting>
  <printOptions horizontalCentered="1"/>
  <pageMargins left="0.25" right="0.25" top="0.75" bottom="0.75" header="0.3" footer="0.3"/>
  <pageSetup scale="56" fitToHeight="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O96"/>
  <sheetViews>
    <sheetView workbookViewId="0">
      <selection activeCell="B10" sqref="B10:O10"/>
    </sheetView>
  </sheetViews>
  <sheetFormatPr defaultRowHeight="15" x14ac:dyDescent="0.25"/>
  <cols>
    <col min="1" max="1" width="20.42578125" style="1" customWidth="1"/>
    <col min="2" max="2" width="12.42578125" style="1" customWidth="1"/>
    <col min="3" max="3" width="12.7109375" style="230" customWidth="1"/>
    <col min="4" max="4" width="9.85546875" style="1" bestFit="1" customWidth="1"/>
    <col min="5" max="5" width="9" style="230" bestFit="1" customWidth="1"/>
    <col min="6" max="6" width="14.7109375" style="1" customWidth="1"/>
    <col min="7" max="7" width="11.85546875" style="230" bestFit="1" customWidth="1"/>
    <col min="8" max="8" width="15" style="1" customWidth="1"/>
    <col min="9" max="9" width="11.28515625" style="230" customWidth="1"/>
    <col min="10" max="10" width="14.85546875" style="1" customWidth="1"/>
    <col min="11" max="11" width="8.85546875" style="230" bestFit="1" customWidth="1"/>
    <col min="12" max="12" width="13.28515625" style="1" customWidth="1"/>
    <col min="13" max="13" width="9.5703125" style="1" bestFit="1" customWidth="1"/>
    <col min="14" max="14" width="13.28515625" style="1" customWidth="1"/>
    <col min="15" max="15" width="12.7109375" style="1" bestFit="1" customWidth="1"/>
    <col min="16" max="16" width="10.85546875" style="1" customWidth="1"/>
    <col min="17" max="17" width="12.42578125" style="1" customWidth="1"/>
    <col min="18" max="18" width="14" style="1" customWidth="1"/>
    <col min="19" max="19" width="12.28515625" style="1" customWidth="1"/>
    <col min="20" max="20" width="12.7109375" style="1" bestFit="1" customWidth="1"/>
    <col min="21" max="21" width="13.85546875" style="1" bestFit="1" customWidth="1"/>
    <col min="22" max="22" width="12.7109375" style="1" bestFit="1" customWidth="1"/>
    <col min="23" max="23" width="9.7109375" style="1" bestFit="1" customWidth="1"/>
    <col min="24" max="24" width="7" style="1" bestFit="1" customWidth="1"/>
    <col min="25" max="16384" width="9.140625" style="1"/>
  </cols>
  <sheetData>
    <row r="1" spans="1:15" ht="23.25" x14ac:dyDescent="0.35">
      <c r="A1" s="229" t="s">
        <v>629</v>
      </c>
    </row>
    <row r="2" spans="1:15" ht="15.75" customHeight="1" thickBot="1" x14ac:dyDescent="0.4">
      <c r="A2" s="229"/>
    </row>
    <row r="3" spans="1:15" x14ac:dyDescent="0.25">
      <c r="A3" s="669" t="s">
        <v>118</v>
      </c>
      <c r="B3" s="670"/>
      <c r="C3" s="671" t="s">
        <v>636</v>
      </c>
      <c r="D3" s="230"/>
      <c r="E3" s="24"/>
      <c r="F3" s="24"/>
      <c r="G3" s="24"/>
      <c r="H3" s="24"/>
      <c r="I3" s="24"/>
      <c r="K3" s="1"/>
    </row>
    <row r="4" spans="1:15" x14ac:dyDescent="0.25">
      <c r="A4" s="355" t="s">
        <v>114</v>
      </c>
      <c r="B4" s="648"/>
      <c r="C4" s="37">
        <f>Amounts!C32</f>
        <v>378.98100000000005</v>
      </c>
      <c r="D4" s="230"/>
      <c r="E4" s="24"/>
      <c r="F4" s="336"/>
      <c r="G4" s="336"/>
      <c r="H4" s="336"/>
      <c r="I4" s="24"/>
      <c r="K4" s="1"/>
    </row>
    <row r="5" spans="1:15" x14ac:dyDescent="0.25">
      <c r="A5" s="355" t="s">
        <v>115</v>
      </c>
      <c r="B5" s="648"/>
      <c r="C5" s="37">
        <f>Amounts!C33</f>
        <v>378.98100000000005</v>
      </c>
      <c r="D5" s="230"/>
      <c r="E5" s="24"/>
      <c r="F5" s="336"/>
      <c r="G5" s="336"/>
      <c r="H5" s="336"/>
      <c r="I5" s="24"/>
      <c r="K5" s="1"/>
    </row>
    <row r="6" spans="1:15" x14ac:dyDescent="0.25">
      <c r="A6" s="355" t="s">
        <v>116</v>
      </c>
      <c r="B6" s="648"/>
      <c r="C6" s="37">
        <f>Amounts!C34</f>
        <v>512.73900000000003</v>
      </c>
      <c r="D6" s="230"/>
      <c r="E6" s="24"/>
      <c r="F6" s="336"/>
      <c r="G6" s="336"/>
      <c r="H6" s="336"/>
      <c r="I6" s="24"/>
      <c r="K6" s="1"/>
    </row>
    <row r="7" spans="1:15" x14ac:dyDescent="0.25">
      <c r="A7" s="355" t="s">
        <v>117</v>
      </c>
      <c r="B7" s="648"/>
      <c r="C7" s="37">
        <f>Amounts!C35</f>
        <v>378.98100000000005</v>
      </c>
      <c r="D7" s="230"/>
      <c r="E7" s="24"/>
      <c r="F7" s="336"/>
      <c r="G7" s="336"/>
      <c r="H7" s="336"/>
      <c r="I7" s="24"/>
      <c r="K7" s="1"/>
    </row>
    <row r="8" spans="1:15" ht="15.75" thickBot="1" x14ac:dyDescent="0.3">
      <c r="A8" s="356" t="s">
        <v>132</v>
      </c>
      <c r="B8" s="665"/>
      <c r="C8" s="591">
        <f>Amounts!C36</f>
        <v>713.37599999999998</v>
      </c>
      <c r="D8" s="230"/>
      <c r="E8" s="24"/>
      <c r="F8" s="25"/>
      <c r="G8" s="25"/>
      <c r="H8" s="25"/>
      <c r="I8" s="24"/>
      <c r="K8" s="1"/>
    </row>
    <row r="9" spans="1:15" ht="15.75" customHeight="1" thickBot="1" x14ac:dyDescent="0.3">
      <c r="B9" s="230"/>
      <c r="C9" s="1"/>
      <c r="D9" s="230"/>
      <c r="E9" s="1"/>
      <c r="F9" s="230"/>
      <c r="G9" s="1"/>
      <c r="H9" s="230"/>
      <c r="I9" s="1"/>
      <c r="K9" s="1"/>
    </row>
    <row r="10" spans="1:15" ht="15.75" thickBot="1" x14ac:dyDescent="0.3">
      <c r="B10" s="839" t="s">
        <v>812</v>
      </c>
      <c r="C10" s="840"/>
      <c r="D10" s="840"/>
      <c r="E10" s="840"/>
      <c r="F10" s="840"/>
      <c r="G10" s="840"/>
      <c r="H10" s="840"/>
      <c r="I10" s="840"/>
      <c r="J10" s="840"/>
      <c r="K10" s="840"/>
      <c r="L10" s="840"/>
      <c r="M10" s="840"/>
      <c r="N10" s="840"/>
      <c r="O10" s="841"/>
    </row>
    <row r="11" spans="1:15" ht="15.75" thickBot="1" x14ac:dyDescent="0.3">
      <c r="B11" s="833" t="s">
        <v>93</v>
      </c>
      <c r="C11" s="834"/>
      <c r="D11" s="835"/>
      <c r="E11" s="834" t="s">
        <v>114</v>
      </c>
      <c r="F11" s="835"/>
      <c r="G11" s="833" t="s">
        <v>115</v>
      </c>
      <c r="H11" s="835"/>
      <c r="I11" s="833" t="s">
        <v>116</v>
      </c>
      <c r="J11" s="835"/>
      <c r="K11" s="833" t="s">
        <v>117</v>
      </c>
      <c r="L11" s="835"/>
      <c r="M11" s="833" t="s">
        <v>132</v>
      </c>
      <c r="N11" s="835"/>
      <c r="O11" s="879" t="s">
        <v>112</v>
      </c>
    </row>
    <row r="12" spans="1:15" ht="15" customHeight="1" x14ac:dyDescent="0.25">
      <c r="A12" s="848" t="s">
        <v>0</v>
      </c>
      <c r="B12" s="844" t="s">
        <v>86</v>
      </c>
      <c r="C12" s="846" t="s">
        <v>85</v>
      </c>
      <c r="D12" s="829" t="s">
        <v>92</v>
      </c>
      <c r="E12" s="875" t="s">
        <v>119</v>
      </c>
      <c r="F12" s="877" t="s">
        <v>113</v>
      </c>
      <c r="G12" s="875" t="s">
        <v>119</v>
      </c>
      <c r="H12" s="877" t="s">
        <v>113</v>
      </c>
      <c r="I12" s="875" t="s">
        <v>119</v>
      </c>
      <c r="J12" s="877" t="s">
        <v>113</v>
      </c>
      <c r="K12" s="875" t="s">
        <v>119</v>
      </c>
      <c r="L12" s="877" t="s">
        <v>113</v>
      </c>
      <c r="M12" s="875" t="s">
        <v>119</v>
      </c>
      <c r="N12" s="877" t="s">
        <v>113</v>
      </c>
      <c r="O12" s="880"/>
    </row>
    <row r="13" spans="1:15" x14ac:dyDescent="0.25">
      <c r="A13" s="849"/>
      <c r="B13" s="845"/>
      <c r="C13" s="847"/>
      <c r="D13" s="830"/>
      <c r="E13" s="876"/>
      <c r="F13" s="878"/>
      <c r="G13" s="876"/>
      <c r="H13" s="878"/>
      <c r="I13" s="876"/>
      <c r="J13" s="878"/>
      <c r="K13" s="876"/>
      <c r="L13" s="878"/>
      <c r="M13" s="876"/>
      <c r="N13" s="878"/>
      <c r="O13" s="881"/>
    </row>
    <row r="14" spans="1:15" s="241" customFormat="1" x14ac:dyDescent="0.25">
      <c r="A14" s="698" t="s">
        <v>715</v>
      </c>
      <c r="B14" s="690" t="s">
        <v>716</v>
      </c>
      <c r="C14" s="689" t="s">
        <v>717</v>
      </c>
      <c r="D14" s="694" t="s">
        <v>718</v>
      </c>
      <c r="E14" s="704" t="s">
        <v>719</v>
      </c>
      <c r="F14" s="694" t="s">
        <v>720</v>
      </c>
      <c r="G14" s="704" t="s">
        <v>721</v>
      </c>
      <c r="H14" s="694" t="s">
        <v>722</v>
      </c>
      <c r="I14" s="704" t="s">
        <v>723</v>
      </c>
      <c r="J14" s="694" t="s">
        <v>724</v>
      </c>
      <c r="K14" s="704" t="s">
        <v>725</v>
      </c>
      <c r="L14" s="694" t="s">
        <v>726</v>
      </c>
      <c r="M14" s="704" t="s">
        <v>727</v>
      </c>
      <c r="N14" s="694" t="s">
        <v>728</v>
      </c>
      <c r="O14" s="705" t="s">
        <v>729</v>
      </c>
    </row>
    <row r="15" spans="1:15" x14ac:dyDescent="0.25">
      <c r="A15" s="41" t="s">
        <v>4</v>
      </c>
      <c r="B15" s="232">
        <v>2915.96</v>
      </c>
      <c r="C15" s="233">
        <v>2006.13</v>
      </c>
      <c r="D15" s="51">
        <f>C15/B15</f>
        <v>0.68798268837706966</v>
      </c>
      <c r="E15" s="48">
        <v>211.78</v>
      </c>
      <c r="F15" s="26">
        <f t="shared" ref="F15:F46" si="0">E15*$C$4</f>
        <v>80260.596180000008</v>
      </c>
      <c r="G15" s="48">
        <v>809.36</v>
      </c>
      <c r="H15" s="26">
        <f t="shared" ref="H15:H46" si="1">G15*$C$5</f>
        <v>306732.06216000003</v>
      </c>
      <c r="I15" s="48">
        <v>52.04</v>
      </c>
      <c r="J15" s="26">
        <f t="shared" ref="J15:J46" si="2">I15*$C$6</f>
        <v>26682.937560000002</v>
      </c>
      <c r="K15" s="48">
        <v>81.99</v>
      </c>
      <c r="L15" s="26">
        <f t="shared" ref="L15:L46" si="3">K15*$C$7</f>
        <v>31072.652190000001</v>
      </c>
      <c r="M15" s="48">
        <v>479.76</v>
      </c>
      <c r="N15" s="26">
        <f t="shared" ref="N15:N46" si="4">M15*$C$8</f>
        <v>342249.26976</v>
      </c>
      <c r="O15" s="703">
        <f>F15+H15+J15+L15+N15</f>
        <v>786997.51784999995</v>
      </c>
    </row>
    <row r="16" spans="1:15" x14ac:dyDescent="0.25">
      <c r="A16" s="41" t="s">
        <v>5</v>
      </c>
      <c r="B16" s="219">
        <v>23246.81</v>
      </c>
      <c r="C16" s="236">
        <v>15253.01</v>
      </c>
      <c r="D16" s="52">
        <f t="shared" ref="D16:D79" si="5">C16/B16</f>
        <v>0.65613346519371907</v>
      </c>
      <c r="E16" s="49">
        <v>4343.17</v>
      </c>
      <c r="F16" s="26">
        <f t="shared" si="0"/>
        <v>1645978.9097700003</v>
      </c>
      <c r="G16" s="49">
        <v>8226.73</v>
      </c>
      <c r="H16" s="26">
        <f t="shared" si="1"/>
        <v>3117774.3621300003</v>
      </c>
      <c r="I16" s="49">
        <v>1415.51</v>
      </c>
      <c r="J16" s="26">
        <f t="shared" si="2"/>
        <v>725787.18189000001</v>
      </c>
      <c r="K16" s="49">
        <v>305.20999999999998</v>
      </c>
      <c r="L16" s="26">
        <f t="shared" si="3"/>
        <v>115668.79101</v>
      </c>
      <c r="M16" s="49">
        <v>3292.87</v>
      </c>
      <c r="N16" s="26">
        <f t="shared" si="4"/>
        <v>2349054.42912</v>
      </c>
      <c r="O16" s="27">
        <f t="shared" ref="O16:O46" si="6">F16+H16+J16+L16+N16</f>
        <v>7954263.67392</v>
      </c>
    </row>
    <row r="17" spans="1:15" x14ac:dyDescent="0.25">
      <c r="A17" s="41" t="s">
        <v>6</v>
      </c>
      <c r="B17" s="219">
        <v>1028.55</v>
      </c>
      <c r="C17" s="236">
        <v>973.11</v>
      </c>
      <c r="D17" s="52">
        <f t="shared" si="5"/>
        <v>0.94609887705993878</v>
      </c>
      <c r="E17" s="49">
        <v>23</v>
      </c>
      <c r="F17" s="26">
        <f t="shared" si="0"/>
        <v>8716.5630000000019</v>
      </c>
      <c r="G17" s="49">
        <v>473.61</v>
      </c>
      <c r="H17" s="26">
        <f t="shared" si="1"/>
        <v>179489.19141000003</v>
      </c>
      <c r="I17" s="49">
        <v>12.37</v>
      </c>
      <c r="J17" s="26">
        <f t="shared" si="2"/>
        <v>6342.5814300000002</v>
      </c>
      <c r="K17" s="49">
        <v>44.01</v>
      </c>
      <c r="L17" s="26">
        <f t="shared" si="3"/>
        <v>16678.953810000003</v>
      </c>
      <c r="M17" s="49">
        <v>201.56</v>
      </c>
      <c r="N17" s="26">
        <f t="shared" si="4"/>
        <v>143788.06656000001</v>
      </c>
      <c r="O17" s="27">
        <f t="shared" si="6"/>
        <v>355015.35621</v>
      </c>
    </row>
    <row r="18" spans="1:15" x14ac:dyDescent="0.25">
      <c r="A18" s="41" t="s">
        <v>7</v>
      </c>
      <c r="B18" s="219">
        <v>9875.19</v>
      </c>
      <c r="C18" s="236">
        <v>4961.09</v>
      </c>
      <c r="D18" s="52">
        <f t="shared" si="5"/>
        <v>0.50237919472941783</v>
      </c>
      <c r="E18" s="49">
        <v>2106.23</v>
      </c>
      <c r="F18" s="26">
        <f t="shared" si="0"/>
        <v>798221.15163000009</v>
      </c>
      <c r="G18" s="49">
        <v>2660.49</v>
      </c>
      <c r="H18" s="26">
        <f t="shared" si="1"/>
        <v>1008275.16069</v>
      </c>
      <c r="I18" s="49">
        <v>445.34</v>
      </c>
      <c r="J18" s="26">
        <f t="shared" si="2"/>
        <v>228343.18625999999</v>
      </c>
      <c r="K18" s="49">
        <v>199.76</v>
      </c>
      <c r="L18" s="26">
        <f t="shared" si="3"/>
        <v>75705.244560000006</v>
      </c>
      <c r="M18" s="49">
        <v>1843.52</v>
      </c>
      <c r="N18" s="26">
        <f t="shared" si="4"/>
        <v>1315122.92352</v>
      </c>
      <c r="O18" s="27">
        <f t="shared" si="6"/>
        <v>3425667.6666599996</v>
      </c>
    </row>
    <row r="19" spans="1:15" x14ac:dyDescent="0.25">
      <c r="A19" s="41" t="s">
        <v>8</v>
      </c>
      <c r="B19" s="219">
        <v>3618.89</v>
      </c>
      <c r="C19" s="236">
        <v>2306.6999999999998</v>
      </c>
      <c r="D19" s="52">
        <f t="shared" si="5"/>
        <v>0.63740539226116288</v>
      </c>
      <c r="E19" s="49">
        <v>776.03</v>
      </c>
      <c r="F19" s="26">
        <f t="shared" si="0"/>
        <v>294100.62543000001</v>
      </c>
      <c r="G19" s="49">
        <v>1291.5899999999999</v>
      </c>
      <c r="H19" s="26">
        <f t="shared" si="1"/>
        <v>489488.06979000004</v>
      </c>
      <c r="I19" s="49">
        <v>38.76</v>
      </c>
      <c r="J19" s="26">
        <f t="shared" si="2"/>
        <v>19873.763640000001</v>
      </c>
      <c r="K19" s="49">
        <v>79.28</v>
      </c>
      <c r="L19" s="26">
        <f t="shared" si="3"/>
        <v>30045.613680000006</v>
      </c>
      <c r="M19" s="49">
        <v>853.8</v>
      </c>
      <c r="N19" s="26">
        <f t="shared" si="4"/>
        <v>609080.42879999999</v>
      </c>
      <c r="O19" s="27">
        <f t="shared" si="6"/>
        <v>1442588.50134</v>
      </c>
    </row>
    <row r="20" spans="1:15" x14ac:dyDescent="0.25">
      <c r="A20" s="41" t="s">
        <v>9</v>
      </c>
      <c r="B20" s="219">
        <v>2479.0500000000002</v>
      </c>
      <c r="C20" s="236">
        <v>1811.63</v>
      </c>
      <c r="D20" s="52">
        <f t="shared" si="5"/>
        <v>0.73077590205925658</v>
      </c>
      <c r="E20" s="49">
        <v>350.48</v>
      </c>
      <c r="F20" s="26">
        <f t="shared" si="0"/>
        <v>132825.26088000002</v>
      </c>
      <c r="G20" s="49">
        <v>818.96</v>
      </c>
      <c r="H20" s="26">
        <f t="shared" si="1"/>
        <v>310370.27976000006</v>
      </c>
      <c r="I20" s="49">
        <v>51.42</v>
      </c>
      <c r="J20" s="26">
        <f t="shared" si="2"/>
        <v>26365.039380000002</v>
      </c>
      <c r="K20" s="49">
        <v>58.19</v>
      </c>
      <c r="L20" s="26">
        <f t="shared" si="3"/>
        <v>22052.904390000003</v>
      </c>
      <c r="M20" s="49">
        <v>459.46</v>
      </c>
      <c r="N20" s="26">
        <f t="shared" si="4"/>
        <v>327767.73695999995</v>
      </c>
      <c r="O20" s="27">
        <f t="shared" si="6"/>
        <v>819381.22137000004</v>
      </c>
    </row>
    <row r="21" spans="1:15" x14ac:dyDescent="0.25">
      <c r="A21" s="41" t="s">
        <v>10</v>
      </c>
      <c r="B21" s="219">
        <v>2744.29</v>
      </c>
      <c r="C21" s="236">
        <v>1684.95</v>
      </c>
      <c r="D21" s="52">
        <f t="shared" si="5"/>
        <v>0.61398394484547913</v>
      </c>
      <c r="E21" s="49">
        <v>595.33000000000004</v>
      </c>
      <c r="F21" s="26">
        <f t="shared" si="0"/>
        <v>225618.75873000006</v>
      </c>
      <c r="G21" s="49">
        <v>772.33</v>
      </c>
      <c r="H21" s="26">
        <f t="shared" si="1"/>
        <v>292698.39573000005</v>
      </c>
      <c r="I21" s="49">
        <v>47.95</v>
      </c>
      <c r="J21" s="26">
        <f t="shared" si="2"/>
        <v>24585.835050000002</v>
      </c>
      <c r="K21" s="49">
        <v>37.76</v>
      </c>
      <c r="L21" s="26">
        <f t="shared" si="3"/>
        <v>14310.322560000001</v>
      </c>
      <c r="M21" s="49">
        <v>547.07000000000005</v>
      </c>
      <c r="N21" s="26">
        <f t="shared" si="4"/>
        <v>390266.60832</v>
      </c>
      <c r="O21" s="27">
        <f t="shared" si="6"/>
        <v>947479.9203900001</v>
      </c>
    </row>
    <row r="22" spans="1:15" x14ac:dyDescent="0.25">
      <c r="A22" s="41" t="s">
        <v>11</v>
      </c>
      <c r="B22" s="219">
        <v>12671.61</v>
      </c>
      <c r="C22" s="236">
        <v>8210.69</v>
      </c>
      <c r="D22" s="52">
        <f t="shared" si="5"/>
        <v>0.64795949370285233</v>
      </c>
      <c r="E22" s="49">
        <v>2776.64</v>
      </c>
      <c r="F22" s="26">
        <f t="shared" si="0"/>
        <v>1052293.8038400002</v>
      </c>
      <c r="G22" s="49">
        <v>4081.48</v>
      </c>
      <c r="H22" s="26">
        <f t="shared" si="1"/>
        <v>1546803.3718800002</v>
      </c>
      <c r="I22" s="49">
        <v>634.16</v>
      </c>
      <c r="J22" s="26">
        <f t="shared" si="2"/>
        <v>325158.56423999998</v>
      </c>
      <c r="K22" s="49">
        <v>229.59</v>
      </c>
      <c r="L22" s="26">
        <f t="shared" si="3"/>
        <v>87010.247790000009</v>
      </c>
      <c r="M22" s="49">
        <v>814.71</v>
      </c>
      <c r="N22" s="26">
        <f t="shared" si="4"/>
        <v>581194.56096000003</v>
      </c>
      <c r="O22" s="27">
        <f t="shared" si="6"/>
        <v>3592460.5487100007</v>
      </c>
    </row>
    <row r="23" spans="1:15" x14ac:dyDescent="0.25">
      <c r="A23" s="41" t="s">
        <v>12</v>
      </c>
      <c r="B23" s="219">
        <v>1256.76</v>
      </c>
      <c r="C23" s="236">
        <v>988.98</v>
      </c>
      <c r="D23" s="52">
        <f t="shared" si="5"/>
        <v>0.78692829179795665</v>
      </c>
      <c r="E23" s="49">
        <v>89.96</v>
      </c>
      <c r="F23" s="26">
        <f t="shared" si="0"/>
        <v>34093.13076</v>
      </c>
      <c r="G23" s="49">
        <v>500.82</v>
      </c>
      <c r="H23" s="26">
        <f t="shared" si="1"/>
        <v>189801.26442000002</v>
      </c>
      <c r="I23" s="49">
        <v>16.28</v>
      </c>
      <c r="J23" s="26">
        <f t="shared" si="2"/>
        <v>8347.3909200000016</v>
      </c>
      <c r="K23" s="49">
        <v>70.13</v>
      </c>
      <c r="L23" s="26">
        <f t="shared" si="3"/>
        <v>26577.937530000003</v>
      </c>
      <c r="M23" s="49">
        <v>167.9</v>
      </c>
      <c r="N23" s="26">
        <f t="shared" si="4"/>
        <v>119775.83040000001</v>
      </c>
      <c r="O23" s="27">
        <f t="shared" si="6"/>
        <v>378595.55403</v>
      </c>
    </row>
    <row r="24" spans="1:15" x14ac:dyDescent="0.25">
      <c r="A24" s="41" t="s">
        <v>13</v>
      </c>
      <c r="B24" s="219">
        <v>638.25</v>
      </c>
      <c r="C24" s="236">
        <v>596.16999999999996</v>
      </c>
      <c r="D24" s="52">
        <f t="shared" si="5"/>
        <v>0.93406972189580884</v>
      </c>
      <c r="E24" s="49">
        <v>14</v>
      </c>
      <c r="F24" s="26">
        <f t="shared" si="0"/>
        <v>5305.7340000000004</v>
      </c>
      <c r="G24" s="49">
        <v>241.55</v>
      </c>
      <c r="H24" s="26">
        <f t="shared" si="1"/>
        <v>91542.860550000012</v>
      </c>
      <c r="I24" s="49">
        <v>2.95</v>
      </c>
      <c r="J24" s="26">
        <f t="shared" si="2"/>
        <v>1512.5800500000003</v>
      </c>
      <c r="K24" s="49">
        <v>35.54</v>
      </c>
      <c r="L24" s="26">
        <f t="shared" si="3"/>
        <v>13468.984740000002</v>
      </c>
      <c r="M24" s="49">
        <v>101.39</v>
      </c>
      <c r="N24" s="26">
        <f t="shared" si="4"/>
        <v>72329.192639999994</v>
      </c>
      <c r="O24" s="27">
        <f t="shared" si="6"/>
        <v>184159.35198000001</v>
      </c>
    </row>
    <row r="25" spans="1:15" x14ac:dyDescent="0.25">
      <c r="A25" s="41" t="s">
        <v>14</v>
      </c>
      <c r="B25" s="219">
        <v>587.14</v>
      </c>
      <c r="C25" s="236">
        <v>560.97</v>
      </c>
      <c r="D25" s="52">
        <f t="shared" si="5"/>
        <v>0.95542800694893903</v>
      </c>
      <c r="E25" s="49">
        <v>24</v>
      </c>
      <c r="F25" s="26">
        <f t="shared" si="0"/>
        <v>9095.5440000000017</v>
      </c>
      <c r="G25" s="49">
        <v>237.61</v>
      </c>
      <c r="H25" s="26">
        <f t="shared" si="1"/>
        <v>90049.675410000011</v>
      </c>
      <c r="I25" s="49">
        <v>16</v>
      </c>
      <c r="J25" s="26">
        <f t="shared" si="2"/>
        <v>8203.8240000000005</v>
      </c>
      <c r="K25" s="49">
        <v>30.3</v>
      </c>
      <c r="L25" s="26">
        <f t="shared" si="3"/>
        <v>11483.124300000001</v>
      </c>
      <c r="M25" s="49">
        <v>121.31</v>
      </c>
      <c r="N25" s="26">
        <f t="shared" si="4"/>
        <v>86539.642559999993</v>
      </c>
      <c r="O25" s="27">
        <f t="shared" si="6"/>
        <v>205371.81027000002</v>
      </c>
    </row>
    <row r="26" spans="1:15" x14ac:dyDescent="0.25">
      <c r="A26" s="41" t="s">
        <v>15</v>
      </c>
      <c r="B26" s="219">
        <v>822.79</v>
      </c>
      <c r="C26" s="236">
        <v>627.70000000000005</v>
      </c>
      <c r="D26" s="52">
        <f t="shared" si="5"/>
        <v>0.76289211098822307</v>
      </c>
      <c r="E26" s="49">
        <v>83.44</v>
      </c>
      <c r="F26" s="26">
        <f t="shared" si="0"/>
        <v>31622.174640000005</v>
      </c>
      <c r="G26" s="49">
        <v>349.78</v>
      </c>
      <c r="H26" s="26">
        <f t="shared" si="1"/>
        <v>132559.97418000002</v>
      </c>
      <c r="I26" s="49">
        <v>9.42</v>
      </c>
      <c r="J26" s="26">
        <f t="shared" si="2"/>
        <v>4830.0013800000006</v>
      </c>
      <c r="K26" s="49">
        <v>76.36</v>
      </c>
      <c r="L26" s="26">
        <f t="shared" si="3"/>
        <v>28938.989160000005</v>
      </c>
      <c r="M26" s="49">
        <v>155.38999999999999</v>
      </c>
      <c r="N26" s="26">
        <f t="shared" si="4"/>
        <v>110851.49663999998</v>
      </c>
      <c r="O26" s="27">
        <f t="shared" si="6"/>
        <v>308802.636</v>
      </c>
    </row>
    <row r="27" spans="1:15" x14ac:dyDescent="0.25">
      <c r="A27" s="41" t="s">
        <v>16</v>
      </c>
      <c r="B27" s="219">
        <v>2117.3200000000002</v>
      </c>
      <c r="C27" s="236">
        <v>1622.36</v>
      </c>
      <c r="D27" s="52">
        <f t="shared" si="5"/>
        <v>0.76623278484121427</v>
      </c>
      <c r="E27" s="49">
        <v>185.34</v>
      </c>
      <c r="F27" s="26">
        <f t="shared" si="0"/>
        <v>70240.338540000012</v>
      </c>
      <c r="G27" s="49">
        <v>809.84</v>
      </c>
      <c r="H27" s="26">
        <f t="shared" si="1"/>
        <v>306913.97304000007</v>
      </c>
      <c r="I27" s="49">
        <v>56.36</v>
      </c>
      <c r="J27" s="26">
        <f t="shared" si="2"/>
        <v>28897.97004</v>
      </c>
      <c r="K27" s="49">
        <v>63.61</v>
      </c>
      <c r="L27" s="26">
        <f t="shared" si="3"/>
        <v>24106.981410000004</v>
      </c>
      <c r="M27" s="49">
        <v>362.1</v>
      </c>
      <c r="N27" s="26">
        <f t="shared" si="4"/>
        <v>258313.44960000002</v>
      </c>
      <c r="O27" s="27">
        <f t="shared" si="6"/>
        <v>688472.71263000008</v>
      </c>
    </row>
    <row r="28" spans="1:15" x14ac:dyDescent="0.25">
      <c r="A28" s="41" t="s">
        <v>17</v>
      </c>
      <c r="B28" s="219">
        <v>21287.25</v>
      </c>
      <c r="C28" s="236">
        <v>12285.96</v>
      </c>
      <c r="D28" s="52">
        <f t="shared" si="5"/>
        <v>0.57715111158087584</v>
      </c>
      <c r="E28" s="49">
        <v>4125.22</v>
      </c>
      <c r="F28" s="26">
        <f t="shared" si="0"/>
        <v>1563380.0008200004</v>
      </c>
      <c r="G28" s="49">
        <v>6506.76</v>
      </c>
      <c r="H28" s="26">
        <f t="shared" si="1"/>
        <v>2465938.4115600004</v>
      </c>
      <c r="I28" s="49">
        <v>3474.91</v>
      </c>
      <c r="J28" s="26">
        <f t="shared" si="2"/>
        <v>1781721.87849</v>
      </c>
      <c r="K28" s="49">
        <v>286.66000000000003</v>
      </c>
      <c r="L28" s="26">
        <f t="shared" si="3"/>
        <v>108638.69346000002</v>
      </c>
      <c r="M28" s="49">
        <v>3880.81</v>
      </c>
      <c r="N28" s="26">
        <f t="shared" si="4"/>
        <v>2768476.7145599998</v>
      </c>
      <c r="O28" s="27">
        <f t="shared" si="6"/>
        <v>8688155.6988900006</v>
      </c>
    </row>
    <row r="29" spans="1:15" x14ac:dyDescent="0.25">
      <c r="A29" s="41" t="s">
        <v>18</v>
      </c>
      <c r="B29" s="219">
        <v>34520.18</v>
      </c>
      <c r="C29" s="236">
        <v>19753.580000000002</v>
      </c>
      <c r="D29" s="52">
        <f t="shared" si="5"/>
        <v>0.57223282149745458</v>
      </c>
      <c r="E29" s="49">
        <v>5332.53</v>
      </c>
      <c r="F29" s="26">
        <f t="shared" si="0"/>
        <v>2020927.5519300001</v>
      </c>
      <c r="G29" s="49">
        <v>11332.31</v>
      </c>
      <c r="H29" s="26">
        <f t="shared" si="1"/>
        <v>4294730.1761100003</v>
      </c>
      <c r="I29" s="49">
        <v>2594.86</v>
      </c>
      <c r="J29" s="26">
        <f t="shared" si="2"/>
        <v>1330485.9215400002</v>
      </c>
      <c r="K29" s="49">
        <v>417.79</v>
      </c>
      <c r="L29" s="26">
        <f t="shared" si="3"/>
        <v>158334.47199000002</v>
      </c>
      <c r="M29" s="49">
        <v>4887.78</v>
      </c>
      <c r="N29" s="26">
        <f t="shared" si="4"/>
        <v>3486824.9452799996</v>
      </c>
      <c r="O29" s="27">
        <f t="shared" si="6"/>
        <v>11291303.066850001</v>
      </c>
    </row>
    <row r="30" spans="1:15" x14ac:dyDescent="0.25">
      <c r="A30" s="41" t="s">
        <v>19</v>
      </c>
      <c r="B30" s="219">
        <v>1587.18</v>
      </c>
      <c r="C30" s="236">
        <v>1248.23</v>
      </c>
      <c r="D30" s="52">
        <f t="shared" si="5"/>
        <v>0.78644514169785407</v>
      </c>
      <c r="E30" s="49">
        <v>108.27</v>
      </c>
      <c r="F30" s="26">
        <f t="shared" si="0"/>
        <v>41032.272870000001</v>
      </c>
      <c r="G30" s="49">
        <v>604.92999999999995</v>
      </c>
      <c r="H30" s="26">
        <f t="shared" si="1"/>
        <v>229256.97633</v>
      </c>
      <c r="I30" s="49">
        <v>45.2</v>
      </c>
      <c r="J30" s="26">
        <f t="shared" si="2"/>
        <v>23175.802800000001</v>
      </c>
      <c r="K30" s="49">
        <v>88.41</v>
      </c>
      <c r="L30" s="26">
        <f t="shared" si="3"/>
        <v>33505.710210000005</v>
      </c>
      <c r="M30" s="49">
        <v>254.41</v>
      </c>
      <c r="N30" s="26">
        <f t="shared" si="4"/>
        <v>181489.98815999998</v>
      </c>
      <c r="O30" s="27">
        <f t="shared" si="6"/>
        <v>508460.75037000002</v>
      </c>
    </row>
    <row r="31" spans="1:15" x14ac:dyDescent="0.25">
      <c r="A31" s="41" t="s">
        <v>20</v>
      </c>
      <c r="B31" s="219">
        <v>46485.36</v>
      </c>
      <c r="C31" s="236">
        <v>24154.240000000002</v>
      </c>
      <c r="D31" s="52">
        <f t="shared" si="5"/>
        <v>0.51960961472601264</v>
      </c>
      <c r="E31" s="49">
        <v>11391.09</v>
      </c>
      <c r="F31" s="26">
        <f t="shared" si="0"/>
        <v>4317006.6792900003</v>
      </c>
      <c r="G31" s="49">
        <v>13659.49</v>
      </c>
      <c r="H31" s="26">
        <f t="shared" si="1"/>
        <v>5176687.1796900006</v>
      </c>
      <c r="I31" s="49">
        <v>3205.05</v>
      </c>
      <c r="J31" s="26">
        <f t="shared" si="2"/>
        <v>1643354.1319500003</v>
      </c>
      <c r="K31" s="49">
        <v>552.37</v>
      </c>
      <c r="L31" s="26">
        <f t="shared" si="3"/>
        <v>209337.73497000002</v>
      </c>
      <c r="M31" s="49">
        <v>4859.4399999999996</v>
      </c>
      <c r="N31" s="26">
        <f t="shared" si="4"/>
        <v>3466607.8694399996</v>
      </c>
      <c r="O31" s="27">
        <f t="shared" si="6"/>
        <v>14812993.595339999</v>
      </c>
    </row>
    <row r="32" spans="1:15" x14ac:dyDescent="0.25">
      <c r="A32" s="41" t="s">
        <v>21</v>
      </c>
      <c r="B32" s="219">
        <v>8259.2199999999993</v>
      </c>
      <c r="C32" s="236">
        <v>6117.46</v>
      </c>
      <c r="D32" s="52">
        <f t="shared" si="5"/>
        <v>0.74068253418603702</v>
      </c>
      <c r="E32" s="49">
        <v>1108.6400000000001</v>
      </c>
      <c r="F32" s="26">
        <f t="shared" si="0"/>
        <v>420153.49584000011</v>
      </c>
      <c r="G32" s="49">
        <v>3154.24</v>
      </c>
      <c r="H32" s="26">
        <f t="shared" si="1"/>
        <v>1195397.0294400002</v>
      </c>
      <c r="I32" s="49">
        <v>400.01</v>
      </c>
      <c r="J32" s="26">
        <f t="shared" si="2"/>
        <v>205100.72739000001</v>
      </c>
      <c r="K32" s="49">
        <v>148.91</v>
      </c>
      <c r="L32" s="26">
        <f t="shared" si="3"/>
        <v>56434.060710000005</v>
      </c>
      <c r="M32" s="49">
        <v>1221.53</v>
      </c>
      <c r="N32" s="26">
        <f t="shared" si="4"/>
        <v>871410.18527999998</v>
      </c>
      <c r="O32" s="27">
        <f t="shared" si="6"/>
        <v>2748495.4986600005</v>
      </c>
    </row>
    <row r="33" spans="1:15" x14ac:dyDescent="0.25">
      <c r="A33" s="41" t="s">
        <v>22</v>
      </c>
      <c r="B33" s="219">
        <v>4970.04</v>
      </c>
      <c r="C33" s="236">
        <v>3916.87</v>
      </c>
      <c r="D33" s="52">
        <f t="shared" si="5"/>
        <v>0.78809627286701911</v>
      </c>
      <c r="E33" s="49">
        <v>421.01</v>
      </c>
      <c r="F33" s="26">
        <f t="shared" si="0"/>
        <v>159554.79081000001</v>
      </c>
      <c r="G33" s="49">
        <v>2165.8200000000002</v>
      </c>
      <c r="H33" s="26">
        <f t="shared" si="1"/>
        <v>820804.62942000013</v>
      </c>
      <c r="I33" s="49">
        <v>56.78</v>
      </c>
      <c r="J33" s="26">
        <f t="shared" si="2"/>
        <v>29113.320420000004</v>
      </c>
      <c r="K33" s="49">
        <v>124.08</v>
      </c>
      <c r="L33" s="26">
        <f t="shared" si="3"/>
        <v>47023.962480000009</v>
      </c>
      <c r="M33" s="49">
        <v>443.7</v>
      </c>
      <c r="N33" s="26">
        <f t="shared" si="4"/>
        <v>316524.93119999999</v>
      </c>
      <c r="O33" s="27">
        <f t="shared" si="6"/>
        <v>1373021.6343300003</v>
      </c>
    </row>
    <row r="34" spans="1:15" x14ac:dyDescent="0.25">
      <c r="A34" s="41" t="s">
        <v>23</v>
      </c>
      <c r="B34" s="219">
        <v>6691.02</v>
      </c>
      <c r="C34" s="236">
        <v>5025.46</v>
      </c>
      <c r="D34" s="52">
        <f t="shared" si="5"/>
        <v>0.75107532184928449</v>
      </c>
      <c r="E34" s="49">
        <v>1481.95</v>
      </c>
      <c r="F34" s="26">
        <f t="shared" si="0"/>
        <v>561630.89295000012</v>
      </c>
      <c r="G34" s="49">
        <v>2652.36</v>
      </c>
      <c r="H34" s="26">
        <f t="shared" si="1"/>
        <v>1005194.0451600002</v>
      </c>
      <c r="I34" s="49">
        <v>245</v>
      </c>
      <c r="J34" s="26">
        <f t="shared" si="2"/>
        <v>125621.05500000001</v>
      </c>
      <c r="K34" s="49">
        <v>150.91</v>
      </c>
      <c r="L34" s="26">
        <f t="shared" si="3"/>
        <v>57192.022710000005</v>
      </c>
      <c r="M34" s="49">
        <v>1450.83</v>
      </c>
      <c r="N34" s="26">
        <f t="shared" si="4"/>
        <v>1034987.3020799999</v>
      </c>
      <c r="O34" s="27">
        <f t="shared" si="6"/>
        <v>2784625.3179000001</v>
      </c>
    </row>
    <row r="35" spans="1:15" x14ac:dyDescent="0.25">
      <c r="A35" s="41" t="s">
        <v>24</v>
      </c>
      <c r="B35" s="219">
        <v>710.4</v>
      </c>
      <c r="C35" s="236">
        <v>656.97</v>
      </c>
      <c r="D35" s="52">
        <f t="shared" si="5"/>
        <v>0.92478885135135147</v>
      </c>
      <c r="E35" s="49">
        <v>34.090000000000003</v>
      </c>
      <c r="F35" s="26">
        <f t="shared" si="0"/>
        <v>12919.462290000003</v>
      </c>
      <c r="G35" s="49">
        <v>327.04000000000002</v>
      </c>
      <c r="H35" s="26">
        <f t="shared" si="1"/>
        <v>123941.94624000002</v>
      </c>
      <c r="I35" s="49">
        <v>6.27</v>
      </c>
      <c r="J35" s="26">
        <f t="shared" si="2"/>
        <v>3214.8735299999998</v>
      </c>
      <c r="K35" s="49">
        <v>8.33</v>
      </c>
      <c r="L35" s="26">
        <f t="shared" si="3"/>
        <v>3156.9117300000003</v>
      </c>
      <c r="M35" s="49">
        <v>91.24</v>
      </c>
      <c r="N35" s="26">
        <f t="shared" si="4"/>
        <v>65088.426239999993</v>
      </c>
      <c r="O35" s="27">
        <f t="shared" si="6"/>
        <v>208321.62003000002</v>
      </c>
    </row>
    <row r="36" spans="1:15" x14ac:dyDescent="0.25">
      <c r="A36" s="41" t="s">
        <v>25</v>
      </c>
      <c r="B36" s="219">
        <v>2753.54</v>
      </c>
      <c r="C36" s="236">
        <v>2395.11</v>
      </c>
      <c r="D36" s="52">
        <f t="shared" si="5"/>
        <v>0.8698293832666314</v>
      </c>
      <c r="E36" s="49">
        <v>192.82</v>
      </c>
      <c r="F36" s="26">
        <f t="shared" si="0"/>
        <v>73075.116420000006</v>
      </c>
      <c r="G36" s="49">
        <v>1120.56</v>
      </c>
      <c r="H36" s="26">
        <f t="shared" si="1"/>
        <v>424670.94936000003</v>
      </c>
      <c r="I36" s="49">
        <v>65.849999999999994</v>
      </c>
      <c r="J36" s="26">
        <f t="shared" si="2"/>
        <v>33763.863149999997</v>
      </c>
      <c r="K36" s="49">
        <v>59.67</v>
      </c>
      <c r="L36" s="26">
        <f t="shared" si="3"/>
        <v>22613.796270000003</v>
      </c>
      <c r="M36" s="49">
        <v>364.13</v>
      </c>
      <c r="N36" s="26">
        <f t="shared" si="4"/>
        <v>259761.60287999999</v>
      </c>
      <c r="O36" s="27">
        <f t="shared" si="6"/>
        <v>813885.32808000012</v>
      </c>
    </row>
    <row r="37" spans="1:15" x14ac:dyDescent="0.25">
      <c r="A37" s="41" t="s">
        <v>26</v>
      </c>
      <c r="B37" s="219">
        <v>1253.3399999999999</v>
      </c>
      <c r="C37" s="236">
        <v>789.47</v>
      </c>
      <c r="D37" s="52">
        <f t="shared" si="5"/>
        <v>0.62989292610145697</v>
      </c>
      <c r="E37" s="49">
        <v>206.63</v>
      </c>
      <c r="F37" s="26">
        <f t="shared" si="0"/>
        <v>78308.844030000007</v>
      </c>
      <c r="G37" s="49">
        <v>428.22</v>
      </c>
      <c r="H37" s="26">
        <f t="shared" si="1"/>
        <v>162287.24382000003</v>
      </c>
      <c r="I37" s="49">
        <v>51.23</v>
      </c>
      <c r="J37" s="26">
        <f t="shared" si="2"/>
        <v>26267.61897</v>
      </c>
      <c r="K37" s="49">
        <v>23.35</v>
      </c>
      <c r="L37" s="26">
        <f t="shared" si="3"/>
        <v>8849.2063500000022</v>
      </c>
      <c r="M37" s="49">
        <v>167.81</v>
      </c>
      <c r="N37" s="26">
        <f t="shared" si="4"/>
        <v>119711.62656</v>
      </c>
      <c r="O37" s="27">
        <f t="shared" si="6"/>
        <v>395424.53973000002</v>
      </c>
    </row>
    <row r="38" spans="1:15" x14ac:dyDescent="0.25">
      <c r="A38" s="41" t="s">
        <v>27</v>
      </c>
      <c r="B38" s="219">
        <v>5263.6</v>
      </c>
      <c r="C38" s="236">
        <v>4431.29</v>
      </c>
      <c r="D38" s="52">
        <f t="shared" si="5"/>
        <v>0.84187438255186553</v>
      </c>
      <c r="E38" s="49">
        <v>905.87</v>
      </c>
      <c r="F38" s="26">
        <f t="shared" si="0"/>
        <v>343307.51847000007</v>
      </c>
      <c r="G38" s="49">
        <v>2325.27</v>
      </c>
      <c r="H38" s="26">
        <f t="shared" si="1"/>
        <v>881233.14987000008</v>
      </c>
      <c r="I38" s="49">
        <v>206.64</v>
      </c>
      <c r="J38" s="26">
        <f t="shared" si="2"/>
        <v>105952.38696</v>
      </c>
      <c r="K38" s="49">
        <v>80.73</v>
      </c>
      <c r="L38" s="26">
        <f t="shared" si="3"/>
        <v>30595.136130000006</v>
      </c>
      <c r="M38" s="49">
        <v>703.47</v>
      </c>
      <c r="N38" s="26">
        <f t="shared" si="4"/>
        <v>501838.61472000001</v>
      </c>
      <c r="O38" s="27">
        <f t="shared" si="6"/>
        <v>1862926.8061500001</v>
      </c>
    </row>
    <row r="39" spans="1:15" x14ac:dyDescent="0.25">
      <c r="A39" s="41" t="s">
        <v>28</v>
      </c>
      <c r="B39" s="219">
        <v>9606.7099999999991</v>
      </c>
      <c r="C39" s="236">
        <v>7456.46</v>
      </c>
      <c r="D39" s="52">
        <f t="shared" si="5"/>
        <v>0.77617207139593059</v>
      </c>
      <c r="E39" s="49">
        <v>1299.81</v>
      </c>
      <c r="F39" s="26">
        <f t="shared" si="0"/>
        <v>492603.29361000005</v>
      </c>
      <c r="G39" s="49">
        <v>3766.84</v>
      </c>
      <c r="H39" s="26">
        <f t="shared" si="1"/>
        <v>1427560.7900400003</v>
      </c>
      <c r="I39" s="49">
        <v>150.71</v>
      </c>
      <c r="J39" s="26">
        <f t="shared" si="2"/>
        <v>77274.894690000016</v>
      </c>
      <c r="K39" s="49">
        <v>140.83000000000001</v>
      </c>
      <c r="L39" s="26">
        <f t="shared" si="3"/>
        <v>53371.894230000013</v>
      </c>
      <c r="M39" s="49">
        <v>1063.24</v>
      </c>
      <c r="N39" s="26">
        <f t="shared" si="4"/>
        <v>758489.89824000001</v>
      </c>
      <c r="O39" s="27">
        <f t="shared" si="6"/>
        <v>2809300.7708100006</v>
      </c>
    </row>
    <row r="40" spans="1:15" x14ac:dyDescent="0.25">
      <c r="A40" s="41" t="s">
        <v>29</v>
      </c>
      <c r="B40" s="219">
        <v>1528.03</v>
      </c>
      <c r="C40" s="236">
        <v>1086.46</v>
      </c>
      <c r="D40" s="52">
        <f t="shared" si="5"/>
        <v>0.711020071595453</v>
      </c>
      <c r="E40" s="49">
        <v>211.73</v>
      </c>
      <c r="F40" s="26">
        <f t="shared" si="0"/>
        <v>80241.647130000012</v>
      </c>
      <c r="G40" s="49">
        <v>477.19</v>
      </c>
      <c r="H40" s="26">
        <f t="shared" si="1"/>
        <v>180845.94339000003</v>
      </c>
      <c r="I40" s="49">
        <v>8.5</v>
      </c>
      <c r="J40" s="26">
        <f t="shared" si="2"/>
        <v>4358.2815000000001</v>
      </c>
      <c r="K40" s="49">
        <v>12.93</v>
      </c>
      <c r="L40" s="26">
        <f t="shared" si="3"/>
        <v>4900.2243300000009</v>
      </c>
      <c r="M40" s="49">
        <v>324.83999999999997</v>
      </c>
      <c r="N40" s="26">
        <f t="shared" si="4"/>
        <v>231733.05983999997</v>
      </c>
      <c r="O40" s="27">
        <f t="shared" si="6"/>
        <v>502079.15619000001</v>
      </c>
    </row>
    <row r="41" spans="1:15" x14ac:dyDescent="0.25">
      <c r="A41" s="41" t="s">
        <v>30</v>
      </c>
      <c r="B41" s="219">
        <v>3982.19</v>
      </c>
      <c r="C41" s="236">
        <v>3716.77</v>
      </c>
      <c r="D41" s="52">
        <f t="shared" si="5"/>
        <v>0.93334823300746572</v>
      </c>
      <c r="E41" s="49">
        <v>301.13</v>
      </c>
      <c r="F41" s="26">
        <f t="shared" si="0"/>
        <v>114122.54853000001</v>
      </c>
      <c r="G41" s="49">
        <v>1622.74</v>
      </c>
      <c r="H41" s="26">
        <f t="shared" si="1"/>
        <v>614987.62794000003</v>
      </c>
      <c r="I41" s="49">
        <v>89.69</v>
      </c>
      <c r="J41" s="26">
        <f t="shared" si="2"/>
        <v>45987.56091</v>
      </c>
      <c r="K41" s="49">
        <v>26.7</v>
      </c>
      <c r="L41" s="26">
        <f t="shared" si="3"/>
        <v>10118.792700000002</v>
      </c>
      <c r="M41" s="49">
        <v>286.45</v>
      </c>
      <c r="N41" s="26">
        <f t="shared" si="4"/>
        <v>204346.55519999997</v>
      </c>
      <c r="O41" s="27">
        <f t="shared" si="6"/>
        <v>989563.08528</v>
      </c>
    </row>
    <row r="42" spans="1:15" x14ac:dyDescent="0.25">
      <c r="A42" s="41" t="s">
        <v>31</v>
      </c>
      <c r="B42" s="219">
        <v>25440.37</v>
      </c>
      <c r="C42" s="236">
        <v>13001.24</v>
      </c>
      <c r="D42" s="52">
        <f t="shared" si="5"/>
        <v>0.51104759875740802</v>
      </c>
      <c r="E42" s="49">
        <v>4952.16</v>
      </c>
      <c r="F42" s="26">
        <f t="shared" si="0"/>
        <v>1876774.5489600003</v>
      </c>
      <c r="G42" s="49">
        <v>7270.65</v>
      </c>
      <c r="H42" s="26">
        <f t="shared" si="1"/>
        <v>2755438.2076500002</v>
      </c>
      <c r="I42" s="49">
        <v>947.87</v>
      </c>
      <c r="J42" s="26">
        <f t="shared" si="2"/>
        <v>486009.91593000002</v>
      </c>
      <c r="K42" s="49">
        <v>397.73</v>
      </c>
      <c r="L42" s="26">
        <f t="shared" si="3"/>
        <v>150732.11313000004</v>
      </c>
      <c r="M42" s="49">
        <v>4759.67</v>
      </c>
      <c r="N42" s="26">
        <f t="shared" si="4"/>
        <v>3395434.3459199998</v>
      </c>
      <c r="O42" s="27">
        <f t="shared" si="6"/>
        <v>8664389.1315900013</v>
      </c>
    </row>
    <row r="43" spans="1:15" x14ac:dyDescent="0.25">
      <c r="A43" s="41" t="s">
        <v>32</v>
      </c>
      <c r="B43" s="219">
        <v>2145.29</v>
      </c>
      <c r="C43" s="236">
        <v>1651.18</v>
      </c>
      <c r="D43" s="52">
        <f t="shared" si="5"/>
        <v>0.76967682690918249</v>
      </c>
      <c r="E43" s="49">
        <v>150.19</v>
      </c>
      <c r="F43" s="26">
        <f t="shared" si="0"/>
        <v>56919.156390000004</v>
      </c>
      <c r="G43" s="49">
        <v>793</v>
      </c>
      <c r="H43" s="26">
        <f t="shared" si="1"/>
        <v>300531.93300000002</v>
      </c>
      <c r="I43" s="49">
        <v>46.53</v>
      </c>
      <c r="J43" s="26">
        <f t="shared" si="2"/>
        <v>23857.745670000004</v>
      </c>
      <c r="K43" s="49">
        <v>29.64</v>
      </c>
      <c r="L43" s="26">
        <f t="shared" si="3"/>
        <v>11232.996840000002</v>
      </c>
      <c r="M43" s="49">
        <v>303.45999999999998</v>
      </c>
      <c r="N43" s="26">
        <f t="shared" si="4"/>
        <v>216481.08095999999</v>
      </c>
      <c r="O43" s="27">
        <f t="shared" si="6"/>
        <v>609022.91286000004</v>
      </c>
    </row>
    <row r="44" spans="1:15" x14ac:dyDescent="0.25">
      <c r="A44" s="41" t="s">
        <v>33</v>
      </c>
      <c r="B44" s="219">
        <v>3224.83</v>
      </c>
      <c r="C44" s="236">
        <v>2075.11</v>
      </c>
      <c r="D44" s="52">
        <f t="shared" si="5"/>
        <v>0.64347888105729611</v>
      </c>
      <c r="E44" s="49">
        <v>315.56</v>
      </c>
      <c r="F44" s="26">
        <f t="shared" si="0"/>
        <v>119591.24436000001</v>
      </c>
      <c r="G44" s="49">
        <v>1233.17</v>
      </c>
      <c r="H44" s="26">
        <f t="shared" si="1"/>
        <v>467347.99977000011</v>
      </c>
      <c r="I44" s="49">
        <v>125.67</v>
      </c>
      <c r="J44" s="26">
        <f t="shared" si="2"/>
        <v>64435.910130000004</v>
      </c>
      <c r="K44" s="49">
        <v>61.25</v>
      </c>
      <c r="L44" s="26">
        <f t="shared" si="3"/>
        <v>23212.586250000004</v>
      </c>
      <c r="M44" s="49">
        <v>598.54</v>
      </c>
      <c r="N44" s="26">
        <f t="shared" si="4"/>
        <v>426984.07103999995</v>
      </c>
      <c r="O44" s="27">
        <f t="shared" si="6"/>
        <v>1101571.8115500002</v>
      </c>
    </row>
    <row r="45" spans="1:15" x14ac:dyDescent="0.25">
      <c r="A45" s="41" t="s">
        <v>34</v>
      </c>
      <c r="B45" s="219">
        <v>2373.3200000000002</v>
      </c>
      <c r="C45" s="236">
        <v>2070.19</v>
      </c>
      <c r="D45" s="52">
        <f t="shared" si="5"/>
        <v>0.87227596784251593</v>
      </c>
      <c r="E45" s="49">
        <v>399.52</v>
      </c>
      <c r="F45" s="26">
        <f t="shared" si="0"/>
        <v>151410.48912000001</v>
      </c>
      <c r="G45" s="49">
        <v>975.67</v>
      </c>
      <c r="H45" s="26">
        <f t="shared" si="1"/>
        <v>369760.39227000001</v>
      </c>
      <c r="I45" s="49">
        <v>26.28</v>
      </c>
      <c r="J45" s="26">
        <f t="shared" si="2"/>
        <v>13474.780920000001</v>
      </c>
      <c r="K45" s="49">
        <v>84.53</v>
      </c>
      <c r="L45" s="26">
        <f t="shared" si="3"/>
        <v>32035.263930000005</v>
      </c>
      <c r="M45" s="49">
        <v>294.64</v>
      </c>
      <c r="N45" s="26">
        <f t="shared" si="4"/>
        <v>210189.10463999998</v>
      </c>
      <c r="O45" s="27">
        <f t="shared" si="6"/>
        <v>776870.03087999998</v>
      </c>
    </row>
    <row r="46" spans="1:15" x14ac:dyDescent="0.25">
      <c r="A46" s="41" t="s">
        <v>35</v>
      </c>
      <c r="B46" s="219">
        <v>15667.43</v>
      </c>
      <c r="C46" s="236">
        <v>10603.64</v>
      </c>
      <c r="D46" s="52">
        <f t="shared" si="5"/>
        <v>0.67679510934467235</v>
      </c>
      <c r="E46" s="49">
        <v>1620.19</v>
      </c>
      <c r="F46" s="26">
        <f t="shared" si="0"/>
        <v>614021.22639000008</v>
      </c>
      <c r="G46" s="49">
        <v>5776.08</v>
      </c>
      <c r="H46" s="26">
        <f t="shared" si="1"/>
        <v>2189024.5744800004</v>
      </c>
      <c r="I46" s="49">
        <v>435.02</v>
      </c>
      <c r="J46" s="26">
        <f t="shared" si="2"/>
        <v>223051.71978000001</v>
      </c>
      <c r="K46" s="49">
        <v>151.87</v>
      </c>
      <c r="L46" s="26">
        <f t="shared" si="3"/>
        <v>57555.844470000011</v>
      </c>
      <c r="M46" s="49">
        <v>2491.62</v>
      </c>
      <c r="N46" s="26">
        <f t="shared" si="4"/>
        <v>1777461.90912</v>
      </c>
      <c r="O46" s="27">
        <f t="shared" si="6"/>
        <v>4861115.2742400002</v>
      </c>
    </row>
    <row r="47" spans="1:15" x14ac:dyDescent="0.25">
      <c r="A47" s="41" t="s">
        <v>36</v>
      </c>
      <c r="B47" s="219">
        <v>1091.3900000000001</v>
      </c>
      <c r="C47" s="236">
        <v>772.62</v>
      </c>
      <c r="D47" s="52">
        <f t="shared" si="5"/>
        <v>0.70792292397767975</v>
      </c>
      <c r="E47" s="49">
        <v>60.5</v>
      </c>
      <c r="F47" s="26">
        <f t="shared" ref="F47:F78" si="7">E47*$C$4</f>
        <v>22928.350500000004</v>
      </c>
      <c r="G47" s="49">
        <v>433.3</v>
      </c>
      <c r="H47" s="26">
        <f t="shared" ref="H47:H78" si="8">G47*$C$5</f>
        <v>164212.46730000002</v>
      </c>
      <c r="I47" s="49">
        <v>40.44</v>
      </c>
      <c r="J47" s="26">
        <f t="shared" ref="J47:J78" si="9">I47*$C$6</f>
        <v>20735.16516</v>
      </c>
      <c r="K47" s="49">
        <v>34.659999999999997</v>
      </c>
      <c r="L47" s="26">
        <f t="shared" ref="L47:L78" si="10">K47*$C$7</f>
        <v>13135.481460000001</v>
      </c>
      <c r="M47" s="49">
        <v>297.89999999999998</v>
      </c>
      <c r="N47" s="26">
        <f t="shared" ref="N47:N78" si="11">M47*$C$8</f>
        <v>212514.71039999998</v>
      </c>
      <c r="O47" s="27">
        <f t="shared" ref="O47:O78" si="12">F47+H47+J47+L47+N47</f>
        <v>433526.17482000001</v>
      </c>
    </row>
    <row r="48" spans="1:15" x14ac:dyDescent="0.25">
      <c r="A48" s="41" t="s">
        <v>37</v>
      </c>
      <c r="B48" s="219">
        <v>3269.06</v>
      </c>
      <c r="C48" s="236">
        <v>2915.7</v>
      </c>
      <c r="D48" s="52">
        <f t="shared" si="5"/>
        <v>0.89190776553504669</v>
      </c>
      <c r="E48" s="49">
        <v>245.44</v>
      </c>
      <c r="F48" s="26">
        <f t="shared" si="7"/>
        <v>93017.096640000018</v>
      </c>
      <c r="G48" s="49">
        <v>1482.04</v>
      </c>
      <c r="H48" s="26">
        <f t="shared" si="8"/>
        <v>561665.00124000001</v>
      </c>
      <c r="I48" s="49">
        <v>123.24</v>
      </c>
      <c r="J48" s="26">
        <f t="shared" si="9"/>
        <v>63189.954360000003</v>
      </c>
      <c r="K48" s="49">
        <v>88.64</v>
      </c>
      <c r="L48" s="26">
        <f t="shared" si="10"/>
        <v>33592.875840000008</v>
      </c>
      <c r="M48" s="49">
        <v>477.3</v>
      </c>
      <c r="N48" s="26">
        <f t="shared" si="11"/>
        <v>340494.36479999998</v>
      </c>
      <c r="O48" s="27">
        <f t="shared" si="12"/>
        <v>1091959.2928800001</v>
      </c>
    </row>
    <row r="49" spans="1:15" x14ac:dyDescent="0.25">
      <c r="A49" s="41" t="s">
        <v>38</v>
      </c>
      <c r="B49" s="219">
        <v>656.05</v>
      </c>
      <c r="C49" s="236">
        <v>619.41</v>
      </c>
      <c r="D49" s="52">
        <f t="shared" si="5"/>
        <v>0.94415059827757031</v>
      </c>
      <c r="E49" s="49">
        <v>35.89</v>
      </c>
      <c r="F49" s="26">
        <f t="shared" si="7"/>
        <v>13601.628090000002</v>
      </c>
      <c r="G49" s="49">
        <v>319.79000000000002</v>
      </c>
      <c r="H49" s="26">
        <f t="shared" si="8"/>
        <v>121194.33399000003</v>
      </c>
      <c r="I49" s="49">
        <v>43.35</v>
      </c>
      <c r="J49" s="26">
        <f t="shared" si="9"/>
        <v>22227.235650000002</v>
      </c>
      <c r="K49" s="49">
        <v>4.18</v>
      </c>
      <c r="L49" s="26">
        <f t="shared" si="10"/>
        <v>1584.14058</v>
      </c>
      <c r="M49" s="49">
        <v>64.540000000000006</v>
      </c>
      <c r="N49" s="26">
        <f t="shared" si="11"/>
        <v>46041.287040000003</v>
      </c>
      <c r="O49" s="27">
        <f t="shared" si="12"/>
        <v>204648.62535000002</v>
      </c>
    </row>
    <row r="50" spans="1:15" x14ac:dyDescent="0.25">
      <c r="A50" s="41" t="s">
        <v>39</v>
      </c>
      <c r="B50" s="219">
        <v>1181.8699999999999</v>
      </c>
      <c r="C50" s="236">
        <v>827.32</v>
      </c>
      <c r="D50" s="52">
        <f t="shared" si="5"/>
        <v>0.70000930728421917</v>
      </c>
      <c r="E50" s="49">
        <v>130.91999999999999</v>
      </c>
      <c r="F50" s="26">
        <f t="shared" si="7"/>
        <v>49616.192520000004</v>
      </c>
      <c r="G50" s="49">
        <v>443.12</v>
      </c>
      <c r="H50" s="26">
        <f t="shared" si="8"/>
        <v>167934.06072000004</v>
      </c>
      <c r="I50" s="49">
        <v>27.16</v>
      </c>
      <c r="J50" s="26">
        <f t="shared" si="9"/>
        <v>13925.991240000001</v>
      </c>
      <c r="K50" s="49">
        <v>31.23</v>
      </c>
      <c r="L50" s="26">
        <f t="shared" si="10"/>
        <v>11835.576630000001</v>
      </c>
      <c r="M50" s="49">
        <v>123.51</v>
      </c>
      <c r="N50" s="26">
        <f t="shared" si="11"/>
        <v>88109.069759999998</v>
      </c>
      <c r="O50" s="27">
        <f t="shared" si="12"/>
        <v>331420.89087000006</v>
      </c>
    </row>
    <row r="51" spans="1:15" x14ac:dyDescent="0.25">
      <c r="A51" s="41" t="s">
        <v>40</v>
      </c>
      <c r="B51" s="219">
        <v>8929.7900000000009</v>
      </c>
      <c r="C51" s="236">
        <v>6097.28</v>
      </c>
      <c r="D51" s="52">
        <f t="shared" si="5"/>
        <v>0.68280217115968</v>
      </c>
      <c r="E51" s="49">
        <v>1363.55</v>
      </c>
      <c r="F51" s="26">
        <f t="shared" si="7"/>
        <v>516759.54255000007</v>
      </c>
      <c r="G51" s="49">
        <v>3327.5</v>
      </c>
      <c r="H51" s="26">
        <f t="shared" si="8"/>
        <v>1261059.2775000001</v>
      </c>
      <c r="I51" s="49">
        <v>357.46</v>
      </c>
      <c r="J51" s="26">
        <f t="shared" si="9"/>
        <v>183283.68294</v>
      </c>
      <c r="K51" s="49">
        <v>134.31</v>
      </c>
      <c r="L51" s="26">
        <f t="shared" si="10"/>
        <v>50900.93811000001</v>
      </c>
      <c r="M51" s="49">
        <v>1199.67</v>
      </c>
      <c r="N51" s="26">
        <f t="shared" si="11"/>
        <v>855815.78592000005</v>
      </c>
      <c r="O51" s="27">
        <f t="shared" si="12"/>
        <v>2867819.2270200001</v>
      </c>
    </row>
    <row r="52" spans="1:15" x14ac:dyDescent="0.25">
      <c r="A52" s="41" t="s">
        <v>41</v>
      </c>
      <c r="B52" s="219">
        <v>74161.66</v>
      </c>
      <c r="C52" s="236">
        <v>40174.94</v>
      </c>
      <c r="D52" s="52">
        <f t="shared" si="5"/>
        <v>0.54172115349090078</v>
      </c>
      <c r="E52" s="49">
        <v>15351.87</v>
      </c>
      <c r="F52" s="26">
        <f t="shared" si="7"/>
        <v>5818067.044470001</v>
      </c>
      <c r="G52" s="49">
        <v>22066.53</v>
      </c>
      <c r="H52" s="26">
        <f t="shared" si="8"/>
        <v>8362795.6059300005</v>
      </c>
      <c r="I52" s="49">
        <v>7849.86</v>
      </c>
      <c r="J52" s="26">
        <f t="shared" si="9"/>
        <v>4024929.3665400003</v>
      </c>
      <c r="K52" s="49">
        <v>795.57</v>
      </c>
      <c r="L52" s="26">
        <f t="shared" si="10"/>
        <v>301505.91417000006</v>
      </c>
      <c r="M52" s="49">
        <v>9010.93</v>
      </c>
      <c r="N52" s="26">
        <f t="shared" si="11"/>
        <v>6428181.1996799996</v>
      </c>
      <c r="O52" s="27">
        <f t="shared" si="12"/>
        <v>24935479.130790003</v>
      </c>
    </row>
    <row r="53" spans="1:15" x14ac:dyDescent="0.25">
      <c r="A53" s="41" t="s">
        <v>42</v>
      </c>
      <c r="B53" s="219">
        <v>8515.0300000000007</v>
      </c>
      <c r="C53" s="236">
        <v>6247.89</v>
      </c>
      <c r="D53" s="52">
        <f t="shared" si="5"/>
        <v>0.73374844245997961</v>
      </c>
      <c r="E53" s="49">
        <v>1304.93</v>
      </c>
      <c r="F53" s="26">
        <f t="shared" si="7"/>
        <v>494543.6763300001</v>
      </c>
      <c r="G53" s="49">
        <v>3221.85</v>
      </c>
      <c r="H53" s="26">
        <f t="shared" si="8"/>
        <v>1221019.9348500001</v>
      </c>
      <c r="I53" s="49">
        <v>914.99</v>
      </c>
      <c r="J53" s="26">
        <f t="shared" si="9"/>
        <v>469151.05761000002</v>
      </c>
      <c r="K53" s="49">
        <v>121.87</v>
      </c>
      <c r="L53" s="26">
        <f t="shared" si="10"/>
        <v>46186.414470000011</v>
      </c>
      <c r="M53" s="49">
        <v>906.41</v>
      </c>
      <c r="N53" s="26">
        <f t="shared" si="11"/>
        <v>646611.14015999995</v>
      </c>
      <c r="O53" s="27">
        <f t="shared" si="12"/>
        <v>2877512.2234200006</v>
      </c>
    </row>
    <row r="54" spans="1:15" x14ac:dyDescent="0.25">
      <c r="A54" s="41" t="s">
        <v>43</v>
      </c>
      <c r="B54" s="219">
        <v>898.58</v>
      </c>
      <c r="C54" s="236">
        <v>677.73</v>
      </c>
      <c r="D54" s="52">
        <f t="shared" si="5"/>
        <v>0.75422333014311471</v>
      </c>
      <c r="E54" s="49">
        <v>70.260000000000005</v>
      </c>
      <c r="F54" s="26">
        <f t="shared" si="7"/>
        <v>26627.205060000004</v>
      </c>
      <c r="G54" s="49">
        <v>343.26</v>
      </c>
      <c r="H54" s="26">
        <f t="shared" si="8"/>
        <v>130089.01806000002</v>
      </c>
      <c r="I54" s="49">
        <v>31.73</v>
      </c>
      <c r="J54" s="26">
        <f t="shared" si="9"/>
        <v>16269.208470000001</v>
      </c>
      <c r="K54" s="49">
        <v>10.17</v>
      </c>
      <c r="L54" s="26">
        <f t="shared" si="10"/>
        <v>3854.2367700000004</v>
      </c>
      <c r="M54" s="49">
        <v>184.5</v>
      </c>
      <c r="N54" s="26">
        <f t="shared" si="11"/>
        <v>131617.872</v>
      </c>
      <c r="O54" s="27">
        <f t="shared" si="12"/>
        <v>308457.54035999998</v>
      </c>
    </row>
    <row r="55" spans="1:15" x14ac:dyDescent="0.25">
      <c r="A55" s="41" t="s">
        <v>44</v>
      </c>
      <c r="B55" s="219">
        <v>1516.32</v>
      </c>
      <c r="C55" s="236">
        <v>927.29</v>
      </c>
      <c r="D55" s="52">
        <f t="shared" si="5"/>
        <v>0.61153978052126201</v>
      </c>
      <c r="E55" s="49">
        <v>279.08999999999997</v>
      </c>
      <c r="F55" s="26">
        <f t="shared" si="7"/>
        <v>105769.80729000001</v>
      </c>
      <c r="G55" s="49">
        <v>503.94</v>
      </c>
      <c r="H55" s="26">
        <f t="shared" si="8"/>
        <v>190983.68514000002</v>
      </c>
      <c r="I55" s="49">
        <v>6.66</v>
      </c>
      <c r="J55" s="26">
        <f t="shared" si="9"/>
        <v>3414.8417400000003</v>
      </c>
      <c r="K55" s="49">
        <v>31.12</v>
      </c>
      <c r="L55" s="26">
        <f t="shared" si="10"/>
        <v>11793.888720000003</v>
      </c>
      <c r="M55" s="49">
        <v>308.33</v>
      </c>
      <c r="N55" s="26">
        <f t="shared" si="11"/>
        <v>219955.22207999998</v>
      </c>
      <c r="O55" s="27">
        <f t="shared" si="12"/>
        <v>531917.44497000007</v>
      </c>
    </row>
    <row r="56" spans="1:15" x14ac:dyDescent="0.25">
      <c r="A56" s="41" t="s">
        <v>45</v>
      </c>
      <c r="B56" s="219">
        <v>2087.65</v>
      </c>
      <c r="C56" s="236">
        <v>1641.59</v>
      </c>
      <c r="D56" s="52">
        <f t="shared" si="5"/>
        <v>0.78633391612578729</v>
      </c>
      <c r="E56" s="49">
        <v>204.9</v>
      </c>
      <c r="F56" s="26">
        <f t="shared" si="7"/>
        <v>77653.206900000019</v>
      </c>
      <c r="G56" s="49">
        <v>840.61</v>
      </c>
      <c r="H56" s="26">
        <f t="shared" si="8"/>
        <v>318575.21841000003</v>
      </c>
      <c r="I56" s="49">
        <v>11.66</v>
      </c>
      <c r="J56" s="26">
        <f t="shared" si="9"/>
        <v>5978.5367400000005</v>
      </c>
      <c r="K56" s="49">
        <v>76.760000000000005</v>
      </c>
      <c r="L56" s="26">
        <f t="shared" si="10"/>
        <v>29090.581560000006</v>
      </c>
      <c r="M56" s="49">
        <v>343.41</v>
      </c>
      <c r="N56" s="26">
        <f t="shared" si="11"/>
        <v>244980.45216000002</v>
      </c>
      <c r="O56" s="27">
        <f t="shared" si="12"/>
        <v>676277.99577000015</v>
      </c>
    </row>
    <row r="57" spans="1:15" x14ac:dyDescent="0.25">
      <c r="A57" s="41" t="s">
        <v>46</v>
      </c>
      <c r="B57" s="219">
        <v>662.1</v>
      </c>
      <c r="C57" s="236">
        <v>607.41</v>
      </c>
      <c r="D57" s="52">
        <f t="shared" si="5"/>
        <v>0.91739918441323054</v>
      </c>
      <c r="E57" s="49">
        <v>5</v>
      </c>
      <c r="F57" s="26">
        <f t="shared" si="7"/>
        <v>1894.9050000000002</v>
      </c>
      <c r="G57" s="49">
        <v>278.83999999999997</v>
      </c>
      <c r="H57" s="26">
        <f t="shared" si="8"/>
        <v>105675.06204</v>
      </c>
      <c r="I57" s="49">
        <v>24.81</v>
      </c>
      <c r="J57" s="26">
        <f t="shared" si="9"/>
        <v>12721.05459</v>
      </c>
      <c r="K57" s="49">
        <v>22.12</v>
      </c>
      <c r="L57" s="26">
        <f t="shared" si="10"/>
        <v>8383.0597200000011</v>
      </c>
      <c r="M57" s="49">
        <v>62.66</v>
      </c>
      <c r="N57" s="26">
        <f t="shared" si="11"/>
        <v>44700.140159999995</v>
      </c>
      <c r="O57" s="27">
        <f t="shared" si="12"/>
        <v>173374.22151</v>
      </c>
    </row>
    <row r="58" spans="1:15" x14ac:dyDescent="0.25">
      <c r="A58" s="41" t="s">
        <v>47</v>
      </c>
      <c r="B58" s="219">
        <v>43529.94</v>
      </c>
      <c r="C58" s="236">
        <v>28552.12</v>
      </c>
      <c r="D58" s="52">
        <f t="shared" si="5"/>
        <v>0.65591912141390496</v>
      </c>
      <c r="E58" s="49">
        <v>8881.7900000000009</v>
      </c>
      <c r="F58" s="26">
        <f t="shared" si="7"/>
        <v>3366029.6559900008</v>
      </c>
      <c r="G58" s="49">
        <v>12294.14</v>
      </c>
      <c r="H58" s="26">
        <f t="shared" si="8"/>
        <v>4659245.4713400006</v>
      </c>
      <c r="I58" s="49">
        <v>3450.1</v>
      </c>
      <c r="J58" s="26">
        <f t="shared" si="9"/>
        <v>1769000.8239</v>
      </c>
      <c r="K58" s="49">
        <v>949.84</v>
      </c>
      <c r="L58" s="26">
        <f t="shared" si="10"/>
        <v>359971.31304000004</v>
      </c>
      <c r="M58" s="49">
        <v>4543.78</v>
      </c>
      <c r="N58" s="26">
        <f t="shared" si="11"/>
        <v>3241423.6012799996</v>
      </c>
      <c r="O58" s="27">
        <f t="shared" si="12"/>
        <v>13395670.86555</v>
      </c>
    </row>
    <row r="59" spans="1:15" x14ac:dyDescent="0.25">
      <c r="A59" s="41" t="s">
        <v>48</v>
      </c>
      <c r="B59" s="219">
        <v>2404.8000000000002</v>
      </c>
      <c r="C59" s="236">
        <v>2167.39</v>
      </c>
      <c r="D59" s="52">
        <f t="shared" si="5"/>
        <v>0.90127661343978693</v>
      </c>
      <c r="E59" s="49">
        <v>122.59</v>
      </c>
      <c r="F59" s="26">
        <f t="shared" si="7"/>
        <v>46459.280790000004</v>
      </c>
      <c r="G59" s="49">
        <v>992.26</v>
      </c>
      <c r="H59" s="26">
        <f t="shared" si="8"/>
        <v>376047.68706000003</v>
      </c>
      <c r="I59" s="49">
        <v>577.44000000000005</v>
      </c>
      <c r="J59" s="26">
        <f t="shared" si="9"/>
        <v>296076.00816000003</v>
      </c>
      <c r="K59" s="49">
        <v>12.5</v>
      </c>
      <c r="L59" s="26">
        <f t="shared" si="10"/>
        <v>4737.2625000000007</v>
      </c>
      <c r="M59" s="49">
        <v>277.86</v>
      </c>
      <c r="N59" s="26">
        <f t="shared" si="11"/>
        <v>198218.65536</v>
      </c>
      <c r="O59" s="27">
        <f t="shared" si="12"/>
        <v>921538.89387000003</v>
      </c>
    </row>
    <row r="60" spans="1:15" x14ac:dyDescent="0.25">
      <c r="A60" s="41" t="s">
        <v>49</v>
      </c>
      <c r="B60" s="219">
        <v>10525.82</v>
      </c>
      <c r="C60" s="236">
        <v>6404.09</v>
      </c>
      <c r="D60" s="52">
        <f t="shared" si="5"/>
        <v>0.60841720645042385</v>
      </c>
      <c r="E60" s="49">
        <v>1725.21</v>
      </c>
      <c r="F60" s="26">
        <f t="shared" si="7"/>
        <v>653821.81101000006</v>
      </c>
      <c r="G60" s="49">
        <v>3777.22</v>
      </c>
      <c r="H60" s="26">
        <f t="shared" si="8"/>
        <v>1431494.6128200002</v>
      </c>
      <c r="I60" s="49">
        <v>373.33</v>
      </c>
      <c r="J60" s="26">
        <f t="shared" si="9"/>
        <v>191420.85086999999</v>
      </c>
      <c r="K60" s="49">
        <v>192.67</v>
      </c>
      <c r="L60" s="26">
        <f t="shared" si="10"/>
        <v>73018.269270000004</v>
      </c>
      <c r="M60" s="49">
        <v>1987.93</v>
      </c>
      <c r="N60" s="26">
        <f t="shared" si="11"/>
        <v>1418141.55168</v>
      </c>
      <c r="O60" s="27">
        <f t="shared" si="12"/>
        <v>3767897.0956500005</v>
      </c>
    </row>
    <row r="61" spans="1:15" x14ac:dyDescent="0.25">
      <c r="A61" s="41" t="s">
        <v>50</v>
      </c>
      <c r="B61" s="219">
        <v>13258.42</v>
      </c>
      <c r="C61" s="236">
        <v>7286.27</v>
      </c>
      <c r="D61" s="52">
        <f t="shared" si="5"/>
        <v>0.54955794129315561</v>
      </c>
      <c r="E61" s="49">
        <v>1686.25</v>
      </c>
      <c r="F61" s="26">
        <f t="shared" si="7"/>
        <v>639056.71125000005</v>
      </c>
      <c r="G61" s="49">
        <v>4367.1899999999996</v>
      </c>
      <c r="H61" s="26">
        <f t="shared" si="8"/>
        <v>1655082.03339</v>
      </c>
      <c r="I61" s="49">
        <v>674.46</v>
      </c>
      <c r="J61" s="26">
        <f t="shared" si="9"/>
        <v>345821.94594000006</v>
      </c>
      <c r="K61" s="49">
        <v>125.39</v>
      </c>
      <c r="L61" s="26">
        <f t="shared" si="10"/>
        <v>47520.427590000007</v>
      </c>
      <c r="M61" s="49">
        <v>1787.55</v>
      </c>
      <c r="N61" s="26">
        <f t="shared" si="11"/>
        <v>1275195.2688</v>
      </c>
      <c r="O61" s="27">
        <f t="shared" si="12"/>
        <v>3962676.3869700003</v>
      </c>
    </row>
    <row r="62" spans="1:15" x14ac:dyDescent="0.25">
      <c r="A62" s="41" t="s">
        <v>51</v>
      </c>
      <c r="B62" s="219">
        <v>5388.16</v>
      </c>
      <c r="C62" s="236">
        <v>4016.61</v>
      </c>
      <c r="D62" s="52">
        <f t="shared" si="5"/>
        <v>0.74545113730846901</v>
      </c>
      <c r="E62" s="49">
        <v>495.3</v>
      </c>
      <c r="F62" s="26">
        <f t="shared" si="7"/>
        <v>187709.28930000003</v>
      </c>
      <c r="G62" s="49">
        <v>2191.23</v>
      </c>
      <c r="H62" s="26">
        <f t="shared" si="8"/>
        <v>830434.5366300001</v>
      </c>
      <c r="I62" s="49">
        <v>430.87</v>
      </c>
      <c r="J62" s="26">
        <f t="shared" si="9"/>
        <v>220923.85293000002</v>
      </c>
      <c r="K62" s="49">
        <v>115.68</v>
      </c>
      <c r="L62" s="26">
        <f t="shared" si="10"/>
        <v>43840.52208000001</v>
      </c>
      <c r="M62" s="49">
        <v>1027.93</v>
      </c>
      <c r="N62" s="26">
        <f t="shared" si="11"/>
        <v>733300.59168000007</v>
      </c>
      <c r="O62" s="27">
        <f t="shared" si="12"/>
        <v>2016208.7926200002</v>
      </c>
    </row>
    <row r="63" spans="1:15" x14ac:dyDescent="0.25">
      <c r="A63" s="41" t="s">
        <v>52</v>
      </c>
      <c r="B63" s="219">
        <v>2979.52</v>
      </c>
      <c r="C63" s="236">
        <v>2390.0300000000002</v>
      </c>
      <c r="D63" s="52">
        <f t="shared" si="5"/>
        <v>0.80215269573622605</v>
      </c>
      <c r="E63" s="49">
        <v>417.4</v>
      </c>
      <c r="F63" s="26">
        <f t="shared" si="7"/>
        <v>158186.66940000001</v>
      </c>
      <c r="G63" s="49">
        <v>1193.24</v>
      </c>
      <c r="H63" s="26">
        <f t="shared" si="8"/>
        <v>452215.28844000009</v>
      </c>
      <c r="I63" s="49">
        <v>70.709999999999994</v>
      </c>
      <c r="J63" s="26">
        <f t="shared" si="9"/>
        <v>36255.774689999998</v>
      </c>
      <c r="K63" s="49">
        <v>102.26</v>
      </c>
      <c r="L63" s="26">
        <f t="shared" si="10"/>
        <v>38754.597060000007</v>
      </c>
      <c r="M63" s="49">
        <v>338.7</v>
      </c>
      <c r="N63" s="26">
        <f t="shared" si="11"/>
        <v>241620.45119999998</v>
      </c>
      <c r="O63" s="27">
        <f t="shared" si="12"/>
        <v>927032.78079000011</v>
      </c>
    </row>
    <row r="64" spans="1:15" x14ac:dyDescent="0.25">
      <c r="A64" s="41" t="s">
        <v>53</v>
      </c>
      <c r="B64" s="219">
        <v>1729.85</v>
      </c>
      <c r="C64" s="236">
        <v>1597.53</v>
      </c>
      <c r="D64" s="52">
        <f t="shared" si="5"/>
        <v>0.92350781859698816</v>
      </c>
      <c r="E64" s="49">
        <v>56.64</v>
      </c>
      <c r="F64" s="26">
        <f t="shared" si="7"/>
        <v>21465.483840000004</v>
      </c>
      <c r="G64" s="49">
        <v>801.3</v>
      </c>
      <c r="H64" s="26">
        <f t="shared" si="8"/>
        <v>303677.47530000005</v>
      </c>
      <c r="I64" s="49">
        <v>25.09</v>
      </c>
      <c r="J64" s="26">
        <f t="shared" si="9"/>
        <v>12864.621510000001</v>
      </c>
      <c r="K64" s="49">
        <v>31.61</v>
      </c>
      <c r="L64" s="26">
        <f t="shared" si="10"/>
        <v>11979.589410000002</v>
      </c>
      <c r="M64" s="49">
        <v>413.07</v>
      </c>
      <c r="N64" s="26">
        <f t="shared" si="11"/>
        <v>294674.22431999998</v>
      </c>
      <c r="O64" s="27">
        <f t="shared" si="12"/>
        <v>644661.39438000007</v>
      </c>
    </row>
    <row r="65" spans="1:15" x14ac:dyDescent="0.25">
      <c r="A65" s="41" t="s">
        <v>54</v>
      </c>
      <c r="B65" s="219">
        <v>25998.85</v>
      </c>
      <c r="C65" s="236">
        <v>11560.42</v>
      </c>
      <c r="D65" s="52">
        <f t="shared" si="5"/>
        <v>0.44465120572640715</v>
      </c>
      <c r="E65" s="49">
        <v>5601.79</v>
      </c>
      <c r="F65" s="26">
        <f t="shared" si="7"/>
        <v>2122971.9759900002</v>
      </c>
      <c r="G65" s="49">
        <v>7669.67</v>
      </c>
      <c r="H65" s="26">
        <f t="shared" si="8"/>
        <v>2906659.2062700004</v>
      </c>
      <c r="I65" s="49">
        <v>1246.6300000000001</v>
      </c>
      <c r="J65" s="26">
        <f t="shared" si="9"/>
        <v>639195.81957000005</v>
      </c>
      <c r="K65" s="49">
        <v>350.1</v>
      </c>
      <c r="L65" s="26">
        <f t="shared" si="10"/>
        <v>132681.24810000003</v>
      </c>
      <c r="M65" s="49">
        <v>5103.59</v>
      </c>
      <c r="N65" s="26">
        <f t="shared" si="11"/>
        <v>3640778.6198399998</v>
      </c>
      <c r="O65" s="27">
        <f t="shared" si="12"/>
        <v>9442286.8697700016</v>
      </c>
    </row>
    <row r="66" spans="1:15" x14ac:dyDescent="0.25">
      <c r="A66" s="41" t="s">
        <v>55</v>
      </c>
      <c r="B66" s="219">
        <v>8632.56</v>
      </c>
      <c r="C66" s="236">
        <v>6583.08</v>
      </c>
      <c r="D66" s="52">
        <f t="shared" si="5"/>
        <v>0.76258722789068367</v>
      </c>
      <c r="E66" s="49">
        <v>1516.33</v>
      </c>
      <c r="F66" s="26">
        <f t="shared" si="7"/>
        <v>574660.25973000005</v>
      </c>
      <c r="G66" s="49">
        <v>3348.77</v>
      </c>
      <c r="H66" s="26">
        <f t="shared" si="8"/>
        <v>1269120.2033700002</v>
      </c>
      <c r="I66" s="49">
        <v>1021.14</v>
      </c>
      <c r="J66" s="26">
        <f t="shared" si="9"/>
        <v>523578.30246000004</v>
      </c>
      <c r="K66" s="49">
        <v>94.9</v>
      </c>
      <c r="L66" s="26">
        <f t="shared" si="10"/>
        <v>35965.296900000008</v>
      </c>
      <c r="M66" s="49">
        <v>1237.0899999999999</v>
      </c>
      <c r="N66" s="26">
        <f t="shared" si="11"/>
        <v>882510.31583999994</v>
      </c>
      <c r="O66" s="27">
        <f t="shared" si="12"/>
        <v>3285834.3783</v>
      </c>
    </row>
    <row r="67" spans="1:15" x14ac:dyDescent="0.25">
      <c r="A67" s="41" t="s">
        <v>56</v>
      </c>
      <c r="B67" s="219">
        <v>1939.18</v>
      </c>
      <c r="C67" s="236">
        <v>1384.39</v>
      </c>
      <c r="D67" s="52">
        <f t="shared" si="5"/>
        <v>0.71390484637836615</v>
      </c>
      <c r="E67" s="49">
        <v>248.11</v>
      </c>
      <c r="F67" s="26">
        <f t="shared" si="7"/>
        <v>94028.975910000023</v>
      </c>
      <c r="G67" s="49">
        <v>700.73</v>
      </c>
      <c r="H67" s="26">
        <f t="shared" si="8"/>
        <v>265563.35613000003</v>
      </c>
      <c r="I67" s="49">
        <v>170.32</v>
      </c>
      <c r="J67" s="26">
        <f t="shared" si="9"/>
        <v>87329.706480000008</v>
      </c>
      <c r="K67" s="49">
        <v>62.58</v>
      </c>
      <c r="L67" s="26">
        <f t="shared" si="10"/>
        <v>23716.630980000002</v>
      </c>
      <c r="M67" s="49">
        <v>347.72</v>
      </c>
      <c r="N67" s="26">
        <f t="shared" si="11"/>
        <v>248055.10272000002</v>
      </c>
      <c r="O67" s="27">
        <f t="shared" si="12"/>
        <v>718693.77222000016</v>
      </c>
    </row>
    <row r="68" spans="1:15" x14ac:dyDescent="0.25">
      <c r="A68" s="41" t="s">
        <v>57</v>
      </c>
      <c r="B68" s="219">
        <v>3124.12</v>
      </c>
      <c r="C68" s="236">
        <v>2504.67</v>
      </c>
      <c r="D68" s="52">
        <f t="shared" si="5"/>
        <v>0.80172016439829463</v>
      </c>
      <c r="E68" s="49">
        <v>200.93</v>
      </c>
      <c r="F68" s="26">
        <f t="shared" si="7"/>
        <v>76148.652330000012</v>
      </c>
      <c r="G68" s="49">
        <v>1481.55</v>
      </c>
      <c r="H68" s="26">
        <f t="shared" si="8"/>
        <v>561479.30055000004</v>
      </c>
      <c r="I68" s="49">
        <v>347.42</v>
      </c>
      <c r="J68" s="26">
        <f t="shared" si="9"/>
        <v>178135.78338000001</v>
      </c>
      <c r="K68" s="49">
        <v>20.57</v>
      </c>
      <c r="L68" s="26">
        <f t="shared" si="10"/>
        <v>7795.6391700000013</v>
      </c>
      <c r="M68" s="49">
        <v>507.02</v>
      </c>
      <c r="N68" s="26">
        <f t="shared" si="11"/>
        <v>361695.89951999998</v>
      </c>
      <c r="O68" s="27">
        <f t="shared" si="12"/>
        <v>1185255.27495</v>
      </c>
    </row>
    <row r="69" spans="1:15" x14ac:dyDescent="0.25">
      <c r="A69" s="41" t="s">
        <v>58</v>
      </c>
      <c r="B69" s="219">
        <v>16899.259999999998</v>
      </c>
      <c r="C69" s="236">
        <v>7185.6</v>
      </c>
      <c r="D69" s="52">
        <f t="shared" si="5"/>
        <v>0.42520205026728985</v>
      </c>
      <c r="E69" s="49">
        <v>4698.2</v>
      </c>
      <c r="F69" s="26">
        <f t="shared" si="7"/>
        <v>1780528.5342000001</v>
      </c>
      <c r="G69" s="49">
        <v>4581.67</v>
      </c>
      <c r="H69" s="26">
        <f t="shared" si="8"/>
        <v>1736365.8782700002</v>
      </c>
      <c r="I69" s="49">
        <v>474.17</v>
      </c>
      <c r="J69" s="26">
        <f t="shared" si="9"/>
        <v>243125.45163000003</v>
      </c>
      <c r="K69" s="49">
        <v>131.24</v>
      </c>
      <c r="L69" s="26">
        <f t="shared" si="10"/>
        <v>49737.466440000011</v>
      </c>
      <c r="M69" s="49">
        <v>3218.19</v>
      </c>
      <c r="N69" s="26">
        <f t="shared" si="11"/>
        <v>2295779.5094400002</v>
      </c>
      <c r="O69" s="27">
        <f t="shared" si="12"/>
        <v>6105536.8399800006</v>
      </c>
    </row>
    <row r="70" spans="1:15" x14ac:dyDescent="0.25">
      <c r="A70" s="41" t="s">
        <v>59</v>
      </c>
      <c r="B70" s="219">
        <v>4230.8599999999997</v>
      </c>
      <c r="C70" s="236">
        <v>3894.1</v>
      </c>
      <c r="D70" s="52">
        <f t="shared" si="5"/>
        <v>0.92040388951655228</v>
      </c>
      <c r="E70" s="49">
        <v>205.47</v>
      </c>
      <c r="F70" s="26">
        <f t="shared" si="7"/>
        <v>77869.226070000004</v>
      </c>
      <c r="G70" s="49">
        <v>1902.42</v>
      </c>
      <c r="H70" s="26">
        <f t="shared" si="8"/>
        <v>720981.03402000014</v>
      </c>
      <c r="I70" s="49">
        <v>77.510000000000005</v>
      </c>
      <c r="J70" s="26">
        <f t="shared" si="9"/>
        <v>39742.399890000008</v>
      </c>
      <c r="K70" s="49">
        <v>54.77</v>
      </c>
      <c r="L70" s="26">
        <f t="shared" si="10"/>
        <v>20756.789370000002</v>
      </c>
      <c r="M70" s="49">
        <v>140.71</v>
      </c>
      <c r="N70" s="26">
        <f t="shared" si="11"/>
        <v>100379.13696</v>
      </c>
      <c r="O70" s="27">
        <f t="shared" si="12"/>
        <v>959728.58631000016</v>
      </c>
    </row>
    <row r="71" spans="1:15" x14ac:dyDescent="0.25">
      <c r="A71" s="41" t="s">
        <v>60</v>
      </c>
      <c r="B71" s="219">
        <v>3684.37</v>
      </c>
      <c r="C71" s="236">
        <v>3216.9</v>
      </c>
      <c r="D71" s="52">
        <f t="shared" si="5"/>
        <v>0.87312077777204788</v>
      </c>
      <c r="E71" s="49">
        <v>203.23</v>
      </c>
      <c r="F71" s="26">
        <f t="shared" si="7"/>
        <v>77020.30863</v>
      </c>
      <c r="G71" s="49">
        <v>1658.44</v>
      </c>
      <c r="H71" s="26">
        <f t="shared" si="8"/>
        <v>628517.24964000005</v>
      </c>
      <c r="I71" s="49">
        <v>16.84</v>
      </c>
      <c r="J71" s="26">
        <f t="shared" si="9"/>
        <v>8634.5247600000002</v>
      </c>
      <c r="K71" s="49">
        <v>140.88</v>
      </c>
      <c r="L71" s="26">
        <f t="shared" si="10"/>
        <v>53390.843280000008</v>
      </c>
      <c r="M71" s="49">
        <v>435.21</v>
      </c>
      <c r="N71" s="26">
        <f t="shared" si="11"/>
        <v>310468.36895999999</v>
      </c>
      <c r="O71" s="27">
        <f t="shared" si="12"/>
        <v>1078031.2952700001</v>
      </c>
    </row>
    <row r="72" spans="1:15" x14ac:dyDescent="0.25">
      <c r="A72" s="41" t="s">
        <v>61</v>
      </c>
      <c r="B72" s="219">
        <v>665.85</v>
      </c>
      <c r="C72" s="236">
        <v>557.95000000000005</v>
      </c>
      <c r="D72" s="52">
        <f t="shared" si="5"/>
        <v>0.83795149057595564</v>
      </c>
      <c r="E72" s="49">
        <v>31.04</v>
      </c>
      <c r="F72" s="26">
        <f t="shared" si="7"/>
        <v>11763.570240000001</v>
      </c>
      <c r="G72" s="49">
        <v>333.02</v>
      </c>
      <c r="H72" s="26">
        <f t="shared" si="8"/>
        <v>126208.25262000001</v>
      </c>
      <c r="I72" s="49">
        <v>3.27</v>
      </c>
      <c r="J72" s="26">
        <f t="shared" si="9"/>
        <v>1676.6565300000002</v>
      </c>
      <c r="K72" s="49">
        <v>36.49</v>
      </c>
      <c r="L72" s="26">
        <f t="shared" si="10"/>
        <v>13829.016690000002</v>
      </c>
      <c r="M72" s="49">
        <v>91.67</v>
      </c>
      <c r="N72" s="26">
        <f t="shared" si="11"/>
        <v>65395.177920000002</v>
      </c>
      <c r="O72" s="27">
        <f t="shared" si="12"/>
        <v>218872.674</v>
      </c>
    </row>
    <row r="73" spans="1:15" x14ac:dyDescent="0.25">
      <c r="A73" s="41" t="s">
        <v>62</v>
      </c>
      <c r="B73" s="219">
        <v>5751.42</v>
      </c>
      <c r="C73" s="236">
        <v>4084.96</v>
      </c>
      <c r="D73" s="52">
        <f t="shared" si="5"/>
        <v>0.71025242461861593</v>
      </c>
      <c r="E73" s="49">
        <v>989.93</v>
      </c>
      <c r="F73" s="26">
        <f t="shared" si="7"/>
        <v>375164.66133000003</v>
      </c>
      <c r="G73" s="49">
        <v>2015.98</v>
      </c>
      <c r="H73" s="26">
        <f t="shared" si="8"/>
        <v>764018.11638000014</v>
      </c>
      <c r="I73" s="49">
        <v>529.04</v>
      </c>
      <c r="J73" s="26">
        <f t="shared" si="9"/>
        <v>271259.44056000002</v>
      </c>
      <c r="K73" s="49">
        <v>95.84</v>
      </c>
      <c r="L73" s="26">
        <f t="shared" si="10"/>
        <v>36321.539040000003</v>
      </c>
      <c r="M73" s="49">
        <v>884.23</v>
      </c>
      <c r="N73" s="26">
        <f t="shared" si="11"/>
        <v>630788.46048000001</v>
      </c>
      <c r="O73" s="27">
        <f t="shared" si="12"/>
        <v>2077552.2177900001</v>
      </c>
    </row>
    <row r="74" spans="1:15" x14ac:dyDescent="0.25">
      <c r="A74" s="41" t="s">
        <v>63</v>
      </c>
      <c r="B74" s="219">
        <v>10099.5</v>
      </c>
      <c r="C74" s="236">
        <v>6589.44</v>
      </c>
      <c r="D74" s="52">
        <f t="shared" si="5"/>
        <v>0.65245210158918754</v>
      </c>
      <c r="E74" s="49">
        <v>1761.68</v>
      </c>
      <c r="F74" s="26">
        <f t="shared" si="7"/>
        <v>667643.24808000016</v>
      </c>
      <c r="G74" s="49">
        <v>3322.6</v>
      </c>
      <c r="H74" s="26">
        <f t="shared" si="8"/>
        <v>1259202.2706000002</v>
      </c>
      <c r="I74" s="49">
        <v>430.21</v>
      </c>
      <c r="J74" s="26">
        <f t="shared" si="9"/>
        <v>220585.44519</v>
      </c>
      <c r="K74" s="49">
        <v>97.36</v>
      </c>
      <c r="L74" s="26">
        <f t="shared" si="10"/>
        <v>36897.590160000007</v>
      </c>
      <c r="M74" s="49">
        <v>775.72</v>
      </c>
      <c r="N74" s="26">
        <f t="shared" si="11"/>
        <v>553380.03072000004</v>
      </c>
      <c r="O74" s="27">
        <f t="shared" si="12"/>
        <v>2737708.5847500004</v>
      </c>
    </row>
    <row r="75" spans="1:15" x14ac:dyDescent="0.25">
      <c r="A75" s="41" t="s">
        <v>64</v>
      </c>
      <c r="B75" s="219">
        <v>2483.25</v>
      </c>
      <c r="C75" s="236">
        <v>2250.21</v>
      </c>
      <c r="D75" s="52">
        <f t="shared" si="5"/>
        <v>0.9061552401087285</v>
      </c>
      <c r="E75" s="49">
        <v>32.880000000000003</v>
      </c>
      <c r="F75" s="26">
        <f t="shared" si="7"/>
        <v>12460.895280000002</v>
      </c>
      <c r="G75" s="49">
        <v>1126.96</v>
      </c>
      <c r="H75" s="26">
        <f t="shared" si="8"/>
        <v>427096.42776000005</v>
      </c>
      <c r="I75" s="49">
        <v>26.63</v>
      </c>
      <c r="J75" s="26">
        <f t="shared" si="9"/>
        <v>13654.23957</v>
      </c>
      <c r="K75" s="49">
        <v>39.21</v>
      </c>
      <c r="L75" s="26">
        <f t="shared" si="10"/>
        <v>14859.845010000003</v>
      </c>
      <c r="M75" s="49">
        <v>429.29</v>
      </c>
      <c r="N75" s="26">
        <f t="shared" si="11"/>
        <v>306245.18304000003</v>
      </c>
      <c r="O75" s="27">
        <f t="shared" si="12"/>
        <v>774316.59065999999</v>
      </c>
    </row>
    <row r="76" spans="1:15" x14ac:dyDescent="0.25">
      <c r="A76" s="41" t="s">
        <v>65</v>
      </c>
      <c r="B76" s="219">
        <v>3390.2</v>
      </c>
      <c r="C76" s="236">
        <v>2686.84</v>
      </c>
      <c r="D76" s="52">
        <f t="shared" si="5"/>
        <v>0.7925314140758658</v>
      </c>
      <c r="E76" s="49">
        <v>195.79</v>
      </c>
      <c r="F76" s="26">
        <f t="shared" si="7"/>
        <v>74200.689990000013</v>
      </c>
      <c r="G76" s="49">
        <v>1424.19</v>
      </c>
      <c r="H76" s="26">
        <f t="shared" si="8"/>
        <v>539740.95039000013</v>
      </c>
      <c r="I76" s="49">
        <v>100.27</v>
      </c>
      <c r="J76" s="26">
        <f t="shared" si="9"/>
        <v>51412.339530000005</v>
      </c>
      <c r="K76" s="49">
        <v>98.17</v>
      </c>
      <c r="L76" s="26">
        <f t="shared" si="10"/>
        <v>37204.564770000005</v>
      </c>
      <c r="M76" s="49">
        <v>453.87</v>
      </c>
      <c r="N76" s="26">
        <f t="shared" si="11"/>
        <v>323779.96512000001</v>
      </c>
      <c r="O76" s="27">
        <f t="shared" si="12"/>
        <v>1026338.5098000001</v>
      </c>
    </row>
    <row r="77" spans="1:15" x14ac:dyDescent="0.25">
      <c r="A77" s="41" t="s">
        <v>66</v>
      </c>
      <c r="B77" s="219">
        <v>6118.74</v>
      </c>
      <c r="C77" s="236">
        <v>5379.45</v>
      </c>
      <c r="D77" s="52">
        <f t="shared" si="5"/>
        <v>0.87917610488433895</v>
      </c>
      <c r="E77" s="49">
        <v>379.89</v>
      </c>
      <c r="F77" s="26">
        <f t="shared" si="7"/>
        <v>143971.09209000002</v>
      </c>
      <c r="G77" s="49">
        <v>2697.91</v>
      </c>
      <c r="H77" s="26">
        <f t="shared" si="8"/>
        <v>1022456.6297100001</v>
      </c>
      <c r="I77" s="49">
        <v>140.44999999999999</v>
      </c>
      <c r="J77" s="26">
        <f t="shared" si="9"/>
        <v>72014.192549999992</v>
      </c>
      <c r="K77" s="49">
        <v>120.06</v>
      </c>
      <c r="L77" s="26">
        <f t="shared" si="10"/>
        <v>45500.458860000006</v>
      </c>
      <c r="M77" s="49">
        <v>763.22</v>
      </c>
      <c r="N77" s="26">
        <f t="shared" si="11"/>
        <v>544462.83071999997</v>
      </c>
      <c r="O77" s="27">
        <f t="shared" si="12"/>
        <v>1828405.2039300001</v>
      </c>
    </row>
    <row r="78" spans="1:15" x14ac:dyDescent="0.25">
      <c r="A78" s="41" t="s">
        <v>67</v>
      </c>
      <c r="B78" s="219">
        <v>15618.17</v>
      </c>
      <c r="C78" s="236">
        <v>9318.2800000000007</v>
      </c>
      <c r="D78" s="52">
        <f t="shared" si="5"/>
        <v>0.59663071921998545</v>
      </c>
      <c r="E78" s="49">
        <v>3231.5</v>
      </c>
      <c r="F78" s="26">
        <f t="shared" si="7"/>
        <v>1224677.1015000001</v>
      </c>
      <c r="G78" s="49">
        <v>4964.1000000000004</v>
      </c>
      <c r="H78" s="26">
        <f t="shared" si="8"/>
        <v>1881299.5821000005</v>
      </c>
      <c r="I78" s="49">
        <v>535.97</v>
      </c>
      <c r="J78" s="26">
        <f t="shared" si="9"/>
        <v>274812.72183000005</v>
      </c>
      <c r="K78" s="49">
        <v>194.57</v>
      </c>
      <c r="L78" s="26">
        <f t="shared" si="10"/>
        <v>73738.333170000013</v>
      </c>
      <c r="M78" s="49">
        <v>2365.21</v>
      </c>
      <c r="N78" s="26">
        <f t="shared" si="11"/>
        <v>1687284.04896</v>
      </c>
      <c r="O78" s="27">
        <f t="shared" si="12"/>
        <v>5141811.787560001</v>
      </c>
    </row>
    <row r="79" spans="1:15" x14ac:dyDescent="0.25">
      <c r="A79" s="41" t="s">
        <v>68</v>
      </c>
      <c r="B79" s="219">
        <v>22502.1</v>
      </c>
      <c r="C79" s="236">
        <v>17146.64</v>
      </c>
      <c r="D79" s="52">
        <f t="shared" si="5"/>
        <v>0.76200176872380798</v>
      </c>
      <c r="E79" s="49">
        <v>3839.1</v>
      </c>
      <c r="F79" s="26">
        <f t="shared" ref="F79:F95" si="13">E79*$C$4</f>
        <v>1454945.9571000002</v>
      </c>
      <c r="G79" s="49">
        <v>8719.16</v>
      </c>
      <c r="H79" s="26">
        <f t="shared" ref="H79:H95" si="14">G79*$C$5</f>
        <v>3304395.9759600004</v>
      </c>
      <c r="I79" s="49">
        <v>792.42</v>
      </c>
      <c r="J79" s="26">
        <f t="shared" ref="J79:J95" si="15">I79*$C$6</f>
        <v>406304.63838000002</v>
      </c>
      <c r="K79" s="49">
        <v>185.16</v>
      </c>
      <c r="L79" s="26">
        <f t="shared" ref="L79:L95" si="16">K79*$C$7</f>
        <v>70172.121960000004</v>
      </c>
      <c r="M79" s="49">
        <v>3162.32</v>
      </c>
      <c r="N79" s="26">
        <f t="shared" ref="N79:N95" si="17">M79*$C$8</f>
        <v>2255923.1923199999</v>
      </c>
      <c r="O79" s="27">
        <f t="shared" ref="O79:O95" si="18">F79+H79+J79+L79+N79</f>
        <v>7491741.8857200015</v>
      </c>
    </row>
    <row r="80" spans="1:15" x14ac:dyDescent="0.25">
      <c r="A80" s="41" t="s">
        <v>69</v>
      </c>
      <c r="B80" s="219">
        <v>27586.57</v>
      </c>
      <c r="C80" s="236">
        <v>15039.74</v>
      </c>
      <c r="D80" s="52">
        <f t="shared" ref="D80:D95" si="19">C80/B80</f>
        <v>0.54518339902351032</v>
      </c>
      <c r="E80" s="49">
        <v>4087.96</v>
      </c>
      <c r="F80" s="26">
        <f t="shared" si="13"/>
        <v>1549259.1687600003</v>
      </c>
      <c r="G80" s="49">
        <v>9039.07</v>
      </c>
      <c r="H80" s="26">
        <f t="shared" si="14"/>
        <v>3425635.7876700005</v>
      </c>
      <c r="I80" s="49">
        <v>1350.79</v>
      </c>
      <c r="J80" s="26">
        <f t="shared" si="15"/>
        <v>692602.71380999999</v>
      </c>
      <c r="K80" s="49">
        <v>205.73</v>
      </c>
      <c r="L80" s="26">
        <f t="shared" si="16"/>
        <v>77967.761130000014</v>
      </c>
      <c r="M80" s="49">
        <v>4404.57</v>
      </c>
      <c r="N80" s="26">
        <f t="shared" si="17"/>
        <v>3142114.5283199996</v>
      </c>
      <c r="O80" s="27">
        <f t="shared" si="18"/>
        <v>8887579.9596900009</v>
      </c>
    </row>
    <row r="81" spans="1:15" x14ac:dyDescent="0.25">
      <c r="A81" s="41" t="s">
        <v>70</v>
      </c>
      <c r="B81" s="219">
        <v>2197.3200000000002</v>
      </c>
      <c r="C81" s="236">
        <v>1682.59</v>
      </c>
      <c r="D81" s="52">
        <f t="shared" si="19"/>
        <v>0.76574645477217695</v>
      </c>
      <c r="E81" s="49">
        <v>285.23</v>
      </c>
      <c r="F81" s="26">
        <f t="shared" si="13"/>
        <v>108096.75063000002</v>
      </c>
      <c r="G81" s="49">
        <v>855.06</v>
      </c>
      <c r="H81" s="26">
        <f t="shared" si="14"/>
        <v>324051.49386000005</v>
      </c>
      <c r="I81" s="49">
        <v>648.9</v>
      </c>
      <c r="J81" s="26">
        <f t="shared" si="15"/>
        <v>332716.3371</v>
      </c>
      <c r="K81" s="49">
        <v>50.56</v>
      </c>
      <c r="L81" s="26">
        <f t="shared" si="16"/>
        <v>19161.279360000004</v>
      </c>
      <c r="M81" s="49">
        <v>185.1</v>
      </c>
      <c r="N81" s="26">
        <f t="shared" si="17"/>
        <v>132045.8976</v>
      </c>
      <c r="O81" s="27">
        <f t="shared" si="18"/>
        <v>916071.75855000014</v>
      </c>
    </row>
    <row r="82" spans="1:15" x14ac:dyDescent="0.25">
      <c r="A82" s="41" t="s">
        <v>71</v>
      </c>
      <c r="B82" s="219">
        <v>4904.8</v>
      </c>
      <c r="C82" s="236">
        <v>2789.85</v>
      </c>
      <c r="D82" s="52">
        <f t="shared" si="19"/>
        <v>0.56879995106834114</v>
      </c>
      <c r="E82" s="49">
        <v>1331.15</v>
      </c>
      <c r="F82" s="26">
        <f t="shared" si="13"/>
        <v>504480.55815000011</v>
      </c>
      <c r="G82" s="49">
        <v>1516.39</v>
      </c>
      <c r="H82" s="26">
        <f t="shared" si="14"/>
        <v>574682.99859000009</v>
      </c>
      <c r="I82" s="49">
        <v>411.55</v>
      </c>
      <c r="J82" s="26">
        <f t="shared" si="15"/>
        <v>211017.73545000001</v>
      </c>
      <c r="K82" s="49">
        <v>151.09</v>
      </c>
      <c r="L82" s="26">
        <f t="shared" si="16"/>
        <v>57260.239290000012</v>
      </c>
      <c r="M82" s="49">
        <v>580.61</v>
      </c>
      <c r="N82" s="26">
        <f t="shared" si="17"/>
        <v>414193.23936000001</v>
      </c>
      <c r="O82" s="27">
        <f t="shared" si="18"/>
        <v>1761634.7708400001</v>
      </c>
    </row>
    <row r="83" spans="1:15" x14ac:dyDescent="0.25">
      <c r="A83" s="41" t="s">
        <v>72</v>
      </c>
      <c r="B83" s="219">
        <v>9921.15</v>
      </c>
      <c r="C83" s="236">
        <v>5800.34</v>
      </c>
      <c r="D83" s="52">
        <f t="shared" si="19"/>
        <v>0.58464391728781451</v>
      </c>
      <c r="E83" s="49">
        <v>1719.5</v>
      </c>
      <c r="F83" s="26">
        <f t="shared" si="13"/>
        <v>651657.82950000011</v>
      </c>
      <c r="G83" s="49">
        <v>2926.69</v>
      </c>
      <c r="H83" s="26">
        <f t="shared" si="14"/>
        <v>1109159.9028900003</v>
      </c>
      <c r="I83" s="49">
        <v>1132.3599999999999</v>
      </c>
      <c r="J83" s="26">
        <f t="shared" si="15"/>
        <v>580605.13404000003</v>
      </c>
      <c r="K83" s="49">
        <v>284.39999999999998</v>
      </c>
      <c r="L83" s="26">
        <f t="shared" si="16"/>
        <v>107782.1964</v>
      </c>
      <c r="M83" s="49">
        <v>809.81</v>
      </c>
      <c r="N83" s="26">
        <f t="shared" si="17"/>
        <v>577699.01856</v>
      </c>
      <c r="O83" s="27">
        <f t="shared" si="18"/>
        <v>3026904.0813899999</v>
      </c>
    </row>
    <row r="84" spans="1:15" x14ac:dyDescent="0.25">
      <c r="A84" s="41" t="s">
        <v>73</v>
      </c>
      <c r="B84" s="219">
        <v>2737.16</v>
      </c>
      <c r="C84" s="236">
        <v>1943.24</v>
      </c>
      <c r="D84" s="52">
        <f t="shared" si="19"/>
        <v>0.70994753686302592</v>
      </c>
      <c r="E84" s="49">
        <v>495.9</v>
      </c>
      <c r="F84" s="26">
        <f t="shared" si="13"/>
        <v>187936.67790000001</v>
      </c>
      <c r="G84" s="49">
        <v>1020.65</v>
      </c>
      <c r="H84" s="26">
        <f t="shared" si="14"/>
        <v>386806.95765000005</v>
      </c>
      <c r="I84" s="49">
        <v>124.33</v>
      </c>
      <c r="J84" s="26">
        <f t="shared" si="15"/>
        <v>63748.839870000003</v>
      </c>
      <c r="K84" s="49">
        <v>75.819999999999993</v>
      </c>
      <c r="L84" s="26">
        <f t="shared" si="16"/>
        <v>28734.33942</v>
      </c>
      <c r="M84" s="49">
        <v>373.21</v>
      </c>
      <c r="N84" s="26">
        <f t="shared" si="17"/>
        <v>266239.05695999996</v>
      </c>
      <c r="O84" s="27">
        <f t="shared" si="18"/>
        <v>933465.87179999996</v>
      </c>
    </row>
    <row r="85" spans="1:15" x14ac:dyDescent="0.25">
      <c r="A85" s="41" t="s">
        <v>74</v>
      </c>
      <c r="B85" s="219">
        <v>2669.43</v>
      </c>
      <c r="C85" s="236">
        <v>1792.49</v>
      </c>
      <c r="D85" s="52">
        <f t="shared" si="19"/>
        <v>0.6714879206422345</v>
      </c>
      <c r="E85" s="49">
        <v>476.05</v>
      </c>
      <c r="F85" s="26">
        <f t="shared" si="13"/>
        <v>180413.90505000003</v>
      </c>
      <c r="G85" s="49">
        <v>764.33</v>
      </c>
      <c r="H85" s="26">
        <f t="shared" si="14"/>
        <v>289666.54773000005</v>
      </c>
      <c r="I85" s="49">
        <v>113.12</v>
      </c>
      <c r="J85" s="26">
        <f t="shared" si="15"/>
        <v>58001.035680000008</v>
      </c>
      <c r="K85" s="49">
        <v>39.799999999999997</v>
      </c>
      <c r="L85" s="26">
        <f t="shared" si="16"/>
        <v>15083.443800000001</v>
      </c>
      <c r="M85" s="49">
        <v>422.67</v>
      </c>
      <c r="N85" s="26">
        <f t="shared" si="17"/>
        <v>301522.63391999999</v>
      </c>
      <c r="O85" s="27">
        <f t="shared" si="18"/>
        <v>844687.56618000008</v>
      </c>
    </row>
    <row r="86" spans="1:15" x14ac:dyDescent="0.25">
      <c r="A86" s="41" t="s">
        <v>75</v>
      </c>
      <c r="B86" s="219">
        <v>8533.4500000000007</v>
      </c>
      <c r="C86" s="236">
        <v>4605.55</v>
      </c>
      <c r="D86" s="52">
        <f t="shared" si="19"/>
        <v>0.5397055118387053</v>
      </c>
      <c r="E86" s="49">
        <v>1202.6500000000001</v>
      </c>
      <c r="F86" s="26">
        <f t="shared" si="13"/>
        <v>455781.49965000007</v>
      </c>
      <c r="G86" s="49">
        <v>2565.92</v>
      </c>
      <c r="H86" s="26">
        <f t="shared" si="14"/>
        <v>972434.92752000014</v>
      </c>
      <c r="I86" s="49">
        <v>616.55999999999995</v>
      </c>
      <c r="J86" s="26">
        <f t="shared" si="15"/>
        <v>316134.35784000001</v>
      </c>
      <c r="K86" s="49">
        <v>193.19</v>
      </c>
      <c r="L86" s="26">
        <f t="shared" si="16"/>
        <v>73215.339390000008</v>
      </c>
      <c r="M86" s="49">
        <v>674.72</v>
      </c>
      <c r="N86" s="26">
        <f t="shared" si="17"/>
        <v>481329.05472000001</v>
      </c>
      <c r="O86" s="27">
        <f t="shared" si="18"/>
        <v>2298895.1791200005</v>
      </c>
    </row>
    <row r="87" spans="1:15" x14ac:dyDescent="0.25">
      <c r="A87" s="41" t="s">
        <v>76</v>
      </c>
      <c r="B87" s="219">
        <v>10966.62</v>
      </c>
      <c r="C87" s="236">
        <v>7289.33</v>
      </c>
      <c r="D87" s="52">
        <f t="shared" si="19"/>
        <v>0.6646833755523579</v>
      </c>
      <c r="E87" s="49">
        <v>2032.7</v>
      </c>
      <c r="F87" s="26">
        <f t="shared" si="13"/>
        <v>770354.67870000016</v>
      </c>
      <c r="G87" s="49">
        <v>4134.97</v>
      </c>
      <c r="H87" s="26">
        <f t="shared" si="14"/>
        <v>1567075.0655700003</v>
      </c>
      <c r="I87" s="49">
        <v>1588.7</v>
      </c>
      <c r="J87" s="26">
        <f t="shared" si="15"/>
        <v>814588.44930000009</v>
      </c>
      <c r="K87" s="49">
        <v>196.91</v>
      </c>
      <c r="L87" s="26">
        <f t="shared" si="16"/>
        <v>74625.148710000009</v>
      </c>
      <c r="M87" s="49">
        <v>1513.97</v>
      </c>
      <c r="N87" s="26">
        <f t="shared" si="17"/>
        <v>1080029.8627200001</v>
      </c>
      <c r="O87" s="27">
        <f t="shared" si="18"/>
        <v>4306673.2050000001</v>
      </c>
    </row>
    <row r="88" spans="1:15" x14ac:dyDescent="0.25">
      <c r="A88" s="41" t="s">
        <v>77</v>
      </c>
      <c r="B88" s="219">
        <v>7107.44</v>
      </c>
      <c r="C88" s="236">
        <v>5120.8100000000004</v>
      </c>
      <c r="D88" s="52">
        <f t="shared" si="19"/>
        <v>0.72048585707371438</v>
      </c>
      <c r="E88" s="49">
        <v>1136.9000000000001</v>
      </c>
      <c r="F88" s="26">
        <f t="shared" si="13"/>
        <v>430863.49890000006</v>
      </c>
      <c r="G88" s="49">
        <v>2620.9</v>
      </c>
      <c r="H88" s="26">
        <f t="shared" si="14"/>
        <v>993271.30290000013</v>
      </c>
      <c r="I88" s="49">
        <v>419.67</v>
      </c>
      <c r="J88" s="26">
        <f t="shared" si="15"/>
        <v>215181.17613000004</v>
      </c>
      <c r="K88" s="49">
        <v>64.5</v>
      </c>
      <c r="L88" s="26">
        <f t="shared" si="16"/>
        <v>24444.274500000003</v>
      </c>
      <c r="M88" s="49">
        <v>614.15</v>
      </c>
      <c r="N88" s="26">
        <f t="shared" si="17"/>
        <v>438119.87039999996</v>
      </c>
      <c r="O88" s="27">
        <f t="shared" si="18"/>
        <v>2101880.1228300002</v>
      </c>
    </row>
    <row r="89" spans="1:15" x14ac:dyDescent="0.25">
      <c r="A89" s="41" t="s">
        <v>78</v>
      </c>
      <c r="B89" s="219">
        <v>15888.61</v>
      </c>
      <c r="C89" s="236">
        <v>11802.21</v>
      </c>
      <c r="D89" s="52">
        <f t="shared" si="19"/>
        <v>0.74280947169072675</v>
      </c>
      <c r="E89" s="49">
        <v>2111.0300000000002</v>
      </c>
      <c r="F89" s="26">
        <f t="shared" si="13"/>
        <v>800040.26043000014</v>
      </c>
      <c r="G89" s="49">
        <v>6332.85</v>
      </c>
      <c r="H89" s="26">
        <f t="shared" si="14"/>
        <v>2400029.8258500006</v>
      </c>
      <c r="I89" s="49">
        <v>328.27</v>
      </c>
      <c r="J89" s="26">
        <f t="shared" si="15"/>
        <v>168316.83153</v>
      </c>
      <c r="K89" s="49">
        <v>271.86</v>
      </c>
      <c r="L89" s="26">
        <f t="shared" si="16"/>
        <v>103029.77466000002</v>
      </c>
      <c r="M89" s="49">
        <v>2638.89</v>
      </c>
      <c r="N89" s="26">
        <f t="shared" si="17"/>
        <v>1882520.7926399999</v>
      </c>
      <c r="O89" s="27">
        <f t="shared" si="18"/>
        <v>5353937.4851100007</v>
      </c>
    </row>
    <row r="90" spans="1:15" x14ac:dyDescent="0.25">
      <c r="A90" s="41" t="s">
        <v>79</v>
      </c>
      <c r="B90" s="219">
        <v>3787.02</v>
      </c>
      <c r="C90" s="236">
        <v>2926.7</v>
      </c>
      <c r="D90" s="52">
        <f t="shared" si="19"/>
        <v>0.7728240146606038</v>
      </c>
      <c r="E90" s="49">
        <v>361.12</v>
      </c>
      <c r="F90" s="26">
        <f t="shared" si="13"/>
        <v>136857.61872000003</v>
      </c>
      <c r="G90" s="49">
        <v>1541.61</v>
      </c>
      <c r="H90" s="26">
        <f t="shared" si="14"/>
        <v>584240.89941000007</v>
      </c>
      <c r="I90" s="49">
        <v>17.690000000000001</v>
      </c>
      <c r="J90" s="26">
        <f t="shared" si="15"/>
        <v>9070.3529100000014</v>
      </c>
      <c r="K90" s="49">
        <v>155.04</v>
      </c>
      <c r="L90" s="26">
        <f t="shared" si="16"/>
        <v>58757.214240000008</v>
      </c>
      <c r="M90" s="49">
        <v>696.14</v>
      </c>
      <c r="N90" s="26">
        <f t="shared" si="17"/>
        <v>496609.56863999995</v>
      </c>
      <c r="O90" s="27">
        <f t="shared" si="18"/>
        <v>1285535.65392</v>
      </c>
    </row>
    <row r="91" spans="1:15" x14ac:dyDescent="0.25">
      <c r="A91" s="41" t="s">
        <v>80</v>
      </c>
      <c r="B91" s="219">
        <v>3426.1</v>
      </c>
      <c r="C91" s="236">
        <v>3131.81</v>
      </c>
      <c r="D91" s="52">
        <f t="shared" si="19"/>
        <v>0.91410349960596593</v>
      </c>
      <c r="E91" s="49">
        <v>170.93</v>
      </c>
      <c r="F91" s="26">
        <f t="shared" si="13"/>
        <v>64779.222330000011</v>
      </c>
      <c r="G91" s="49">
        <v>1516.41</v>
      </c>
      <c r="H91" s="26">
        <f t="shared" si="14"/>
        <v>574690.57821000007</v>
      </c>
      <c r="I91" s="49">
        <v>21.38</v>
      </c>
      <c r="J91" s="26">
        <f t="shared" si="15"/>
        <v>10962.35982</v>
      </c>
      <c r="K91" s="49">
        <v>110.8</v>
      </c>
      <c r="L91" s="26">
        <f t="shared" si="16"/>
        <v>41991.094800000006</v>
      </c>
      <c r="M91" s="49">
        <v>584.47</v>
      </c>
      <c r="N91" s="26">
        <f t="shared" si="17"/>
        <v>416946.87072000001</v>
      </c>
      <c r="O91" s="27">
        <f t="shared" si="18"/>
        <v>1109370.1258800002</v>
      </c>
    </row>
    <row r="92" spans="1:15" x14ac:dyDescent="0.25">
      <c r="A92" s="41" t="s">
        <v>81</v>
      </c>
      <c r="B92" s="219">
        <v>4956.4399999999996</v>
      </c>
      <c r="C92" s="236">
        <v>3366.99</v>
      </c>
      <c r="D92" s="52">
        <f t="shared" si="19"/>
        <v>0.67931620275843152</v>
      </c>
      <c r="E92" s="49">
        <v>597.54999999999995</v>
      </c>
      <c r="F92" s="26">
        <f t="shared" si="13"/>
        <v>226460.09655000002</v>
      </c>
      <c r="G92" s="49">
        <v>1770.76</v>
      </c>
      <c r="H92" s="26">
        <f t="shared" si="14"/>
        <v>671084.39556000009</v>
      </c>
      <c r="I92" s="49">
        <v>179.81</v>
      </c>
      <c r="J92" s="26">
        <f t="shared" si="15"/>
        <v>92195.599590000013</v>
      </c>
      <c r="K92" s="49">
        <v>180.41</v>
      </c>
      <c r="L92" s="26">
        <f t="shared" si="16"/>
        <v>68371.962210000012</v>
      </c>
      <c r="M92" s="49">
        <v>718.62</v>
      </c>
      <c r="N92" s="26">
        <f t="shared" si="17"/>
        <v>512646.26111999998</v>
      </c>
      <c r="O92" s="27">
        <f t="shared" si="18"/>
        <v>1570758.3150299999</v>
      </c>
    </row>
    <row r="93" spans="1:15" x14ac:dyDescent="0.25">
      <c r="A93" s="41" t="s">
        <v>82</v>
      </c>
      <c r="B93" s="219">
        <v>7694.47</v>
      </c>
      <c r="C93" s="236">
        <v>2768.93</v>
      </c>
      <c r="D93" s="52">
        <f t="shared" si="19"/>
        <v>0.35985974342612287</v>
      </c>
      <c r="E93" s="49">
        <v>1258.92</v>
      </c>
      <c r="F93" s="26">
        <f t="shared" si="13"/>
        <v>477106.76052000007</v>
      </c>
      <c r="G93" s="49">
        <v>1810.4</v>
      </c>
      <c r="H93" s="26">
        <f t="shared" si="14"/>
        <v>686107.20240000018</v>
      </c>
      <c r="I93" s="49">
        <v>165.84</v>
      </c>
      <c r="J93" s="26">
        <f t="shared" si="15"/>
        <v>85032.635760000005</v>
      </c>
      <c r="K93" s="49">
        <v>166.57</v>
      </c>
      <c r="L93" s="26">
        <f t="shared" si="16"/>
        <v>63126.865170000005</v>
      </c>
      <c r="M93" s="49">
        <v>1308.44</v>
      </c>
      <c r="N93" s="26">
        <f t="shared" si="17"/>
        <v>933409.69344000006</v>
      </c>
      <c r="O93" s="27">
        <f t="shared" si="18"/>
        <v>2244783.1572900005</v>
      </c>
    </row>
    <row r="94" spans="1:15" x14ac:dyDescent="0.25">
      <c r="A94" s="41" t="s">
        <v>83</v>
      </c>
      <c r="B94" s="219">
        <v>17132.009999999998</v>
      </c>
      <c r="C94" s="236">
        <v>10493.05</v>
      </c>
      <c r="D94" s="52">
        <f t="shared" si="19"/>
        <v>0.61248213140197794</v>
      </c>
      <c r="E94" s="49">
        <v>2425.85</v>
      </c>
      <c r="F94" s="26">
        <f t="shared" si="13"/>
        <v>919351.05885000015</v>
      </c>
      <c r="G94" s="49">
        <v>5747.78</v>
      </c>
      <c r="H94" s="26">
        <f t="shared" si="14"/>
        <v>2178299.41218</v>
      </c>
      <c r="I94" s="49">
        <v>874.34</v>
      </c>
      <c r="J94" s="26">
        <f t="shared" si="15"/>
        <v>448308.21726000006</v>
      </c>
      <c r="K94" s="49">
        <v>189.56</v>
      </c>
      <c r="L94" s="26">
        <f t="shared" si="16"/>
        <v>71839.638360000012</v>
      </c>
      <c r="M94" s="49">
        <v>2275.21</v>
      </c>
      <c r="N94" s="26">
        <f t="shared" si="17"/>
        <v>1623080.20896</v>
      </c>
      <c r="O94" s="27">
        <f t="shared" si="18"/>
        <v>5240878.5356099997</v>
      </c>
    </row>
    <row r="95" spans="1:15" x14ac:dyDescent="0.25">
      <c r="A95" s="41" t="s">
        <v>84</v>
      </c>
      <c r="B95" s="219">
        <v>15937.31</v>
      </c>
      <c r="C95" s="236">
        <v>3335.44</v>
      </c>
      <c r="D95" s="52">
        <f t="shared" si="19"/>
        <v>0.2092850048094691</v>
      </c>
      <c r="E95" s="50">
        <v>4472.62</v>
      </c>
      <c r="F95" s="26">
        <f t="shared" si="13"/>
        <v>1695038.0002200003</v>
      </c>
      <c r="G95" s="50">
        <v>2869.22</v>
      </c>
      <c r="H95" s="26">
        <f t="shared" si="14"/>
        <v>1087379.86482</v>
      </c>
      <c r="I95" s="50">
        <v>567.01</v>
      </c>
      <c r="J95" s="26">
        <f t="shared" si="15"/>
        <v>290728.14039000002</v>
      </c>
      <c r="K95" s="50">
        <v>69.180000000000007</v>
      </c>
      <c r="L95" s="26">
        <f t="shared" si="16"/>
        <v>26217.905580000006</v>
      </c>
      <c r="M95" s="50">
        <v>3073.84</v>
      </c>
      <c r="N95" s="26">
        <f t="shared" si="17"/>
        <v>2192803.6838400001</v>
      </c>
      <c r="O95" s="26">
        <f t="shared" si="18"/>
        <v>5292167.59485</v>
      </c>
    </row>
    <row r="96" spans="1:15" s="241" customFormat="1" ht="15.75" thickBot="1" x14ac:dyDescent="0.3">
      <c r="A96" s="687" t="s">
        <v>312</v>
      </c>
      <c r="B96" s="223">
        <v>721122.25</v>
      </c>
      <c r="C96" s="238">
        <v>446194.4</v>
      </c>
      <c r="D96" s="53">
        <f>C96/B96</f>
        <v>0.61875001083380798</v>
      </c>
      <c r="E96" s="337">
        <v>125877.27</v>
      </c>
      <c r="F96" s="23">
        <f t="shared" ref="F96:O96" si="20">SUM(F15:F95)</f>
        <v>47705093.661870018</v>
      </c>
      <c r="G96" s="337">
        <v>239324.03</v>
      </c>
      <c r="H96" s="23">
        <f t="shared" si="20"/>
        <v>90699260.213430017</v>
      </c>
      <c r="I96" s="337">
        <v>44486.6</v>
      </c>
      <c r="J96" s="23">
        <f t="shared" si="20"/>
        <v>22810014.797400009</v>
      </c>
      <c r="K96" s="337">
        <v>11166.32</v>
      </c>
      <c r="L96" s="23">
        <f t="shared" si="20"/>
        <v>4231823.1199200004</v>
      </c>
      <c r="M96" s="337">
        <v>101993.91</v>
      </c>
      <c r="N96" s="23">
        <f>SUM(N15:N95)</f>
        <v>72760007.54016</v>
      </c>
      <c r="O96" s="23">
        <f t="shared" si="20"/>
        <v>238206199.33278</v>
      </c>
    </row>
  </sheetData>
  <mergeCells count="22">
    <mergeCell ref="B10:O10"/>
    <mergeCell ref="A12:A13"/>
    <mergeCell ref="B12:B13"/>
    <mergeCell ref="C12:C13"/>
    <mergeCell ref="D12:D13"/>
    <mergeCell ref="L12:L13"/>
    <mergeCell ref="O11:O13"/>
    <mergeCell ref="B11:D11"/>
    <mergeCell ref="I12:I13"/>
    <mergeCell ref="J12:J13"/>
    <mergeCell ref="K12:K13"/>
    <mergeCell ref="G12:G13"/>
    <mergeCell ref="E12:E13"/>
    <mergeCell ref="F12:F13"/>
    <mergeCell ref="H12:H13"/>
    <mergeCell ref="I11:J11"/>
    <mergeCell ref="M12:M13"/>
    <mergeCell ref="N12:N13"/>
    <mergeCell ref="E11:F11"/>
    <mergeCell ref="G11:H11"/>
    <mergeCell ref="K11:L11"/>
    <mergeCell ref="M11:N11"/>
  </mergeCells>
  <conditionalFormatting sqref="V97:V1048576">
    <cfRule type="cellIs" dxfId="0" priority="3" operator="lessThan">
      <formula>0</formula>
    </cfRule>
  </conditionalFormatting>
  <printOptions horizontalCentered="1"/>
  <pageMargins left="0.5" right="0.5" top="0.5" bottom="0.5" header="0.3" footer="0.3"/>
  <pageSetup scale="67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30</vt:i4>
      </vt:variant>
    </vt:vector>
  </HeadingPairs>
  <TitlesOfParts>
    <vt:vector size="56" baseType="lpstr">
      <vt:lpstr>Amounts</vt:lpstr>
      <vt:lpstr>K </vt:lpstr>
      <vt:lpstr>1-3 </vt:lpstr>
      <vt:lpstr>4-6</vt:lpstr>
      <vt:lpstr>7-8 </vt:lpstr>
      <vt:lpstr>9-12 </vt:lpstr>
      <vt:lpstr>Special Ed (Simplified)</vt:lpstr>
      <vt:lpstr>Special Ed (Goal)</vt:lpstr>
      <vt:lpstr>Other Spec</vt:lpstr>
      <vt:lpstr>Inst. Support </vt:lpstr>
      <vt:lpstr>Health</vt:lpstr>
      <vt:lpstr>Sch Admin</vt:lpstr>
      <vt:lpstr>Mtrl &amp; Tech</vt:lpstr>
      <vt:lpstr>Total Inst. Cost</vt:lpstr>
      <vt:lpstr>Facilities</vt:lpstr>
      <vt:lpstr>District Services</vt:lpstr>
      <vt:lpstr>Inst. Staff Counts</vt:lpstr>
      <vt:lpstr>Model-Summary</vt:lpstr>
      <vt:lpstr>Option 1</vt:lpstr>
      <vt:lpstr>Option 2</vt:lpstr>
      <vt:lpstr>Option 3</vt:lpstr>
      <vt:lpstr>Option 4</vt:lpstr>
      <vt:lpstr>ITA</vt:lpstr>
      <vt:lpstr>FY 19 State Pmt</vt:lpstr>
      <vt:lpstr>FY 19 State Pmt (Opt 3)</vt:lpstr>
      <vt:lpstr>Prop Tax</vt:lpstr>
      <vt:lpstr>'9-12 '!Print_Area</vt:lpstr>
      <vt:lpstr>Amounts!Print_Area</vt:lpstr>
      <vt:lpstr>'District Services'!Print_Area</vt:lpstr>
      <vt:lpstr>Facilities!Print_Area</vt:lpstr>
      <vt:lpstr>'Inst. Staff Counts'!Print_Area</vt:lpstr>
      <vt:lpstr>'Option 2'!Print_Area</vt:lpstr>
      <vt:lpstr>'Sch Admin'!Print_Area</vt:lpstr>
      <vt:lpstr>'1-3 '!Print_Titles</vt:lpstr>
      <vt:lpstr>'4-6'!Print_Titles</vt:lpstr>
      <vt:lpstr>'7-8 '!Print_Titles</vt:lpstr>
      <vt:lpstr>'9-12 '!Print_Titles</vt:lpstr>
      <vt:lpstr>'District Services'!Print_Titles</vt:lpstr>
      <vt:lpstr>Facilities!Print_Titles</vt:lpstr>
      <vt:lpstr>'FY 19 State Pmt'!Print_Titles</vt:lpstr>
      <vt:lpstr>Health!Print_Titles</vt:lpstr>
      <vt:lpstr>'Inst. Staff Counts'!Print_Titles</vt:lpstr>
      <vt:lpstr>'Inst. Support '!Print_Titles</vt:lpstr>
      <vt:lpstr>ITA!Print_Titles</vt:lpstr>
      <vt:lpstr>'K '!Print_Titles</vt:lpstr>
      <vt:lpstr>'Model-Summary'!Print_Titles</vt:lpstr>
      <vt:lpstr>'Mtrl &amp; Tech'!Print_Titles</vt:lpstr>
      <vt:lpstr>'Option 1'!Print_Titles</vt:lpstr>
      <vt:lpstr>'Option 2'!Print_Titles</vt:lpstr>
      <vt:lpstr>'Option 3'!Print_Titles</vt:lpstr>
      <vt:lpstr>'Option 4'!Print_Titles</vt:lpstr>
      <vt:lpstr>'Other Spec'!Print_Titles</vt:lpstr>
      <vt:lpstr>'Sch Admin'!Print_Titles</vt:lpstr>
      <vt:lpstr>'Special Ed (Goal)'!Print_Titles</vt:lpstr>
      <vt:lpstr>'Special Ed (Simplified)'!Print_Titles</vt:lpstr>
      <vt:lpstr>'Total Inst. Cost'!Print_Titles</vt:lpstr>
    </vt:vector>
  </TitlesOfParts>
  <Company>Revenue &amp; Fiscal Affairs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Morales</dc:creator>
  <cp:lastModifiedBy>Lisa Wren</cp:lastModifiedBy>
  <cp:lastPrinted>2019-09-27T15:12:32Z</cp:lastPrinted>
  <dcterms:created xsi:type="dcterms:W3CDTF">2019-03-20T17:45:07Z</dcterms:created>
  <dcterms:modified xsi:type="dcterms:W3CDTF">2020-11-06T16:18:32Z</dcterms:modified>
</cp:coreProperties>
</file>