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4 Updates to Dashboard\Dashboard Guides\"/>
    </mc:Choice>
  </mc:AlternateContent>
  <xr:revisionPtr revIDLastSave="0" documentId="13_ncr:1_{DAFD1012-3906-4ED3-AD8F-B332DADA6C41}" xr6:coauthVersionLast="47" xr6:coauthVersionMax="47" xr10:uidLastSave="{00000000-0000-0000-0000-000000000000}"/>
  <bookViews>
    <workbookView xWindow="-120" yWindow="-120" windowWidth="29040" windowHeight="17520" xr2:uid="{BA7D49B7-7D08-4EAF-B1B0-CCAC355BE489}"/>
  </bookViews>
  <sheets>
    <sheet name="FY23 Expenditures" sheetId="18" r:id="rId1"/>
    <sheet name="FY23 Exp Codes " sheetId="14" r:id="rId2"/>
    <sheet name="FY23 Revenues" sheetId="17" r:id="rId3"/>
    <sheet name="FY23 Rev Codes" sheetId="15" r:id="rId4"/>
    <sheet name="FY23 Fund Balance" sheetId="19" r:id="rId5"/>
    <sheet name="FY 23 Teachers and Avg Salary" sheetId="20" r:id="rId6"/>
  </sheets>
  <externalReferences>
    <externalReference r:id="rId7"/>
  </externalReferences>
  <definedNames>
    <definedName name="DSALARY2022">#REF!</definedName>
    <definedName name="DSALARY2023">'FY 23 Teachers and Avg Salary'!$A$4:$A$79</definedName>
    <definedName name="_xlnm.Print_Area" localSheetId="1">'FY23 Exp Codes '!$A$1:$H$154</definedName>
    <definedName name="_xlnm.Print_Area" localSheetId="3">'FY23 Rev Codes'!$A$1:$G$279</definedName>
    <definedName name="_xlnm.Print_Titles" localSheetId="1">'FY23 Exp Codes '!$1:$3</definedName>
    <definedName name="_xlnm.Print_Titles" localSheetId="3">'FY23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5" i="17" l="1"/>
  <c r="E265" i="17"/>
  <c r="F265" i="17"/>
  <c r="G265" i="17"/>
  <c r="H265" i="17"/>
  <c r="I265" i="17"/>
  <c r="J265" i="17"/>
  <c r="K265" i="17"/>
  <c r="L265" i="17"/>
  <c r="M265" i="17"/>
  <c r="N265" i="17"/>
  <c r="O265" i="17"/>
  <c r="P265" i="17"/>
  <c r="Q265" i="17"/>
  <c r="R265" i="17"/>
  <c r="S265" i="17"/>
  <c r="T265" i="17"/>
  <c r="U265" i="17"/>
  <c r="V265" i="17"/>
  <c r="W265" i="17"/>
  <c r="X265" i="17"/>
  <c r="Y265" i="17"/>
  <c r="Z265" i="17"/>
  <c r="AA265" i="17"/>
  <c r="AB265" i="17"/>
  <c r="AC265" i="17"/>
  <c r="AD265" i="17"/>
  <c r="AE265" i="17"/>
  <c r="AF265" i="17"/>
  <c r="AG265" i="17"/>
  <c r="AH265" i="17"/>
  <c r="AI265" i="17"/>
  <c r="AJ265" i="17"/>
  <c r="AK265" i="17"/>
  <c r="AL265" i="17"/>
  <c r="AM265" i="17"/>
  <c r="AN265" i="17"/>
  <c r="AO265" i="17"/>
  <c r="AP265" i="17"/>
  <c r="AQ265" i="17"/>
  <c r="AR265" i="17"/>
  <c r="AS265" i="17"/>
  <c r="AT265" i="17"/>
  <c r="AU265" i="17"/>
  <c r="AV265" i="17"/>
  <c r="AW265" i="17"/>
  <c r="AX265" i="17"/>
  <c r="AY265" i="17"/>
  <c r="AZ265" i="17"/>
  <c r="BA265" i="17"/>
  <c r="BB265" i="17"/>
  <c r="BC265" i="17"/>
  <c r="BD265" i="17"/>
  <c r="BE265" i="17"/>
  <c r="BF265" i="17"/>
  <c r="BG265" i="17"/>
  <c r="BH265" i="17"/>
  <c r="BI265" i="17"/>
  <c r="BJ265" i="17"/>
  <c r="BK265" i="17"/>
  <c r="BL265" i="17"/>
  <c r="BM265" i="17"/>
  <c r="BN265" i="17"/>
  <c r="BO265" i="17"/>
  <c r="BP265" i="17"/>
  <c r="BQ265" i="17"/>
  <c r="BR265" i="17"/>
  <c r="BS265" i="17"/>
  <c r="BT265" i="17"/>
  <c r="BU265" i="17"/>
  <c r="BV265" i="17"/>
  <c r="BW265" i="17"/>
  <c r="BX265" i="17"/>
  <c r="BY265" i="17"/>
  <c r="BZ265" i="17"/>
  <c r="CA265" i="17"/>
  <c r="C265" i="17"/>
  <c r="D264" i="17"/>
  <c r="E264" i="17"/>
  <c r="F264" i="17"/>
  <c r="G264" i="17"/>
  <c r="H264" i="17"/>
  <c r="I264" i="17"/>
  <c r="J264" i="17"/>
  <c r="K264" i="17"/>
  <c r="L264" i="17"/>
  <c r="M264" i="17"/>
  <c r="N264" i="17"/>
  <c r="O264" i="17"/>
  <c r="P264" i="17"/>
  <c r="Q264" i="17"/>
  <c r="R264" i="17"/>
  <c r="S264" i="17"/>
  <c r="T264" i="17"/>
  <c r="U264" i="17"/>
  <c r="V264" i="17"/>
  <c r="W264" i="17"/>
  <c r="X264" i="17"/>
  <c r="Y264" i="17"/>
  <c r="Z264" i="17"/>
  <c r="AA264" i="17"/>
  <c r="AB264" i="17"/>
  <c r="AC264" i="17"/>
  <c r="AD264" i="17"/>
  <c r="AE264" i="17"/>
  <c r="AF264" i="17"/>
  <c r="AG264" i="17"/>
  <c r="AH264" i="17"/>
  <c r="AI264" i="17"/>
  <c r="AJ264" i="17"/>
  <c r="AK264" i="17"/>
  <c r="AL264" i="17"/>
  <c r="AM264" i="17"/>
  <c r="AN264" i="17"/>
  <c r="AO264" i="17"/>
  <c r="AP264" i="17"/>
  <c r="AQ264" i="17"/>
  <c r="AR264" i="17"/>
  <c r="AS264" i="17"/>
  <c r="AT264" i="17"/>
  <c r="AU264" i="17"/>
  <c r="AV264" i="17"/>
  <c r="AW264" i="17"/>
  <c r="AX264" i="17"/>
  <c r="AY264" i="17"/>
  <c r="AZ264" i="17"/>
  <c r="BA264" i="17"/>
  <c r="BB264" i="17"/>
  <c r="BC264" i="17"/>
  <c r="BD264" i="17"/>
  <c r="BE264" i="17"/>
  <c r="BF264" i="17"/>
  <c r="BG264" i="17"/>
  <c r="BH264" i="17"/>
  <c r="BI264" i="17"/>
  <c r="BJ264" i="17"/>
  <c r="BK264" i="17"/>
  <c r="BL264" i="17"/>
  <c r="BM264" i="17"/>
  <c r="BN264" i="17"/>
  <c r="BO264" i="17"/>
  <c r="BP264" i="17"/>
  <c r="BQ264" i="17"/>
  <c r="BR264" i="17"/>
  <c r="BS264" i="17"/>
  <c r="BT264" i="17"/>
  <c r="BU264" i="17"/>
  <c r="BV264" i="17"/>
  <c r="BW264" i="17"/>
  <c r="BX264" i="17"/>
  <c r="BY264" i="17"/>
  <c r="BZ264" i="17"/>
  <c r="CA264" i="17"/>
  <c r="C264" i="17"/>
  <c r="D263" i="17"/>
  <c r="E263" i="17"/>
  <c r="F263" i="17"/>
  <c r="G263" i="17"/>
  <c r="H263" i="17"/>
  <c r="I263" i="17"/>
  <c r="J263" i="17"/>
  <c r="K263" i="17"/>
  <c r="L263" i="17"/>
  <c r="M263" i="17"/>
  <c r="N263" i="17"/>
  <c r="O263" i="17"/>
  <c r="P263" i="17"/>
  <c r="Q263" i="17"/>
  <c r="R263" i="17"/>
  <c r="S263" i="17"/>
  <c r="T263" i="17"/>
  <c r="U263" i="17"/>
  <c r="V263" i="17"/>
  <c r="W263" i="17"/>
  <c r="X263" i="17"/>
  <c r="Y263" i="17"/>
  <c r="Z263" i="17"/>
  <c r="AA263" i="17"/>
  <c r="AB263" i="17"/>
  <c r="AC263" i="17"/>
  <c r="AD263" i="17"/>
  <c r="AE263" i="17"/>
  <c r="AF263" i="17"/>
  <c r="AG263" i="17"/>
  <c r="AH263" i="17"/>
  <c r="AI263" i="17"/>
  <c r="AJ263" i="17"/>
  <c r="AK263" i="17"/>
  <c r="AL263" i="17"/>
  <c r="AM263" i="17"/>
  <c r="AN263" i="17"/>
  <c r="AO263" i="17"/>
  <c r="AP263" i="17"/>
  <c r="AQ263" i="17"/>
  <c r="AR263" i="17"/>
  <c r="AS263" i="17"/>
  <c r="AT263" i="17"/>
  <c r="AU263" i="17"/>
  <c r="AV263" i="17"/>
  <c r="AW263" i="17"/>
  <c r="AX263" i="17"/>
  <c r="AY263" i="17"/>
  <c r="AZ263" i="17"/>
  <c r="BA263" i="17"/>
  <c r="BB263" i="17"/>
  <c r="BC263" i="17"/>
  <c r="BD263" i="17"/>
  <c r="BE263" i="17"/>
  <c r="BF263" i="17"/>
  <c r="BG263" i="17"/>
  <c r="BH263" i="17"/>
  <c r="BI263" i="17"/>
  <c r="BJ263" i="17"/>
  <c r="BK263" i="17"/>
  <c r="BL263" i="17"/>
  <c r="BM263" i="17"/>
  <c r="BN263" i="17"/>
  <c r="BO263" i="17"/>
  <c r="BP263" i="17"/>
  <c r="BQ263" i="17"/>
  <c r="BR263" i="17"/>
  <c r="BS263" i="17"/>
  <c r="BT263" i="17"/>
  <c r="BU263" i="17"/>
  <c r="BV263" i="17"/>
  <c r="BW263" i="17"/>
  <c r="BX263" i="17"/>
  <c r="BY263" i="17"/>
  <c r="BZ263" i="17"/>
  <c r="CA263" i="17"/>
  <c r="C263" i="17"/>
  <c r="D239" i="17"/>
  <c r="E239" i="17"/>
  <c r="F239" i="17"/>
  <c r="G239" i="17"/>
  <c r="H239" i="17"/>
  <c r="I239" i="17"/>
  <c r="J239" i="17"/>
  <c r="K239" i="17"/>
  <c r="L239" i="17"/>
  <c r="M239" i="17"/>
  <c r="N239" i="17"/>
  <c r="O239" i="17"/>
  <c r="P239" i="17"/>
  <c r="Q239" i="17"/>
  <c r="R239" i="17"/>
  <c r="S239" i="17"/>
  <c r="T239" i="17"/>
  <c r="U239" i="17"/>
  <c r="V239" i="17"/>
  <c r="W239" i="17"/>
  <c r="X239" i="17"/>
  <c r="Y239" i="17"/>
  <c r="Z239" i="17"/>
  <c r="AA239" i="17"/>
  <c r="AB239" i="17"/>
  <c r="AC239" i="17"/>
  <c r="AD239" i="17"/>
  <c r="AE239" i="17"/>
  <c r="AF239" i="17"/>
  <c r="AG239" i="17"/>
  <c r="AH239" i="17"/>
  <c r="AI239" i="17"/>
  <c r="AJ239" i="17"/>
  <c r="AK239" i="17"/>
  <c r="AL239" i="17"/>
  <c r="AM239" i="17"/>
  <c r="AN239" i="17"/>
  <c r="AO239" i="17"/>
  <c r="AP239" i="17"/>
  <c r="AQ239" i="17"/>
  <c r="AR239" i="17"/>
  <c r="AS239" i="17"/>
  <c r="AT239" i="17"/>
  <c r="AU239" i="17"/>
  <c r="AV239" i="17"/>
  <c r="AW239" i="17"/>
  <c r="AX239" i="17"/>
  <c r="AY239" i="17"/>
  <c r="AZ239" i="17"/>
  <c r="BA239" i="17"/>
  <c r="BB239" i="17"/>
  <c r="BC239" i="17"/>
  <c r="BD239" i="17"/>
  <c r="BE239" i="17"/>
  <c r="BF239" i="17"/>
  <c r="BG239" i="17"/>
  <c r="BH239" i="17"/>
  <c r="BI239" i="17"/>
  <c r="BJ239" i="17"/>
  <c r="BK239" i="17"/>
  <c r="BL239" i="17"/>
  <c r="BM239" i="17"/>
  <c r="BN239" i="17"/>
  <c r="BO239" i="17"/>
  <c r="BP239" i="17"/>
  <c r="BQ239" i="17"/>
  <c r="BR239" i="17"/>
  <c r="BS239" i="17"/>
  <c r="BT239" i="17"/>
  <c r="BU239" i="17"/>
  <c r="BV239" i="17"/>
  <c r="BW239" i="17"/>
  <c r="BX239" i="17"/>
  <c r="BY239" i="17"/>
  <c r="BZ239" i="17"/>
  <c r="CA239" i="17"/>
  <c r="C239" i="17"/>
  <c r="D184" i="17"/>
  <c r="E184" i="17"/>
  <c r="F184" i="17"/>
  <c r="G184" i="17"/>
  <c r="H184" i="17"/>
  <c r="I184" i="17"/>
  <c r="J184" i="17"/>
  <c r="K184" i="17"/>
  <c r="L184" i="17"/>
  <c r="M184" i="17"/>
  <c r="N184" i="17"/>
  <c r="O184" i="17"/>
  <c r="P184" i="17"/>
  <c r="Q184" i="17"/>
  <c r="R184" i="17"/>
  <c r="S184" i="17"/>
  <c r="T184" i="17"/>
  <c r="U184" i="17"/>
  <c r="V184" i="17"/>
  <c r="W184" i="17"/>
  <c r="X184" i="17"/>
  <c r="Y184" i="17"/>
  <c r="Z184" i="17"/>
  <c r="AA184" i="17"/>
  <c r="AB184" i="17"/>
  <c r="AC184" i="17"/>
  <c r="AD184" i="17"/>
  <c r="AE184" i="17"/>
  <c r="AF184" i="17"/>
  <c r="AG184" i="17"/>
  <c r="AH184" i="17"/>
  <c r="AI184" i="17"/>
  <c r="AJ184" i="17"/>
  <c r="AK184" i="17"/>
  <c r="AL184" i="17"/>
  <c r="AM184" i="17"/>
  <c r="AN184" i="17"/>
  <c r="AO184" i="17"/>
  <c r="AP184" i="17"/>
  <c r="AQ184" i="17"/>
  <c r="AR184" i="17"/>
  <c r="AS184" i="17"/>
  <c r="AT184" i="17"/>
  <c r="AU184" i="17"/>
  <c r="AV184" i="17"/>
  <c r="AW184" i="17"/>
  <c r="AX184" i="17"/>
  <c r="AY184" i="17"/>
  <c r="AZ184" i="17"/>
  <c r="BA184" i="17"/>
  <c r="BB184" i="17"/>
  <c r="BC184" i="17"/>
  <c r="BD184" i="17"/>
  <c r="BE184" i="17"/>
  <c r="BF184" i="17"/>
  <c r="BG184" i="17"/>
  <c r="BH184" i="17"/>
  <c r="BI184" i="17"/>
  <c r="BJ184" i="17"/>
  <c r="BK184" i="17"/>
  <c r="BL184" i="17"/>
  <c r="BM184" i="17"/>
  <c r="BN184" i="17"/>
  <c r="BO184" i="17"/>
  <c r="BP184" i="17"/>
  <c r="BQ184" i="17"/>
  <c r="BR184" i="17"/>
  <c r="BS184" i="17"/>
  <c r="BT184" i="17"/>
  <c r="BU184" i="17"/>
  <c r="BV184" i="17"/>
  <c r="BW184" i="17"/>
  <c r="BX184" i="17"/>
  <c r="BY184" i="17"/>
  <c r="BZ184" i="17"/>
  <c r="CA184" i="17"/>
  <c r="C184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R60" i="17"/>
  <c r="AS60" i="17"/>
  <c r="AT60" i="17"/>
  <c r="AU60" i="17"/>
  <c r="AV60" i="17"/>
  <c r="AW60" i="17"/>
  <c r="AX60" i="17"/>
  <c r="AY60" i="17"/>
  <c r="AZ60" i="17"/>
  <c r="BA60" i="17"/>
  <c r="BB60" i="17"/>
  <c r="BC60" i="17"/>
  <c r="BD60" i="17"/>
  <c r="BE60" i="17"/>
  <c r="BF60" i="17"/>
  <c r="BG60" i="17"/>
  <c r="BH60" i="17"/>
  <c r="BI60" i="17"/>
  <c r="BJ60" i="17"/>
  <c r="BK60" i="17"/>
  <c r="BL60" i="17"/>
  <c r="BM60" i="17"/>
  <c r="BN60" i="17"/>
  <c r="BO60" i="17"/>
  <c r="BP60" i="17"/>
  <c r="BQ60" i="17"/>
  <c r="BR60" i="17"/>
  <c r="BS60" i="17"/>
  <c r="BT60" i="17"/>
  <c r="BU60" i="17"/>
  <c r="BV60" i="17"/>
  <c r="BW60" i="17"/>
  <c r="BX60" i="17"/>
  <c r="BY60" i="17"/>
  <c r="BZ60" i="17"/>
  <c r="CA60" i="17"/>
  <c r="C60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AS54" i="17"/>
  <c r="AT54" i="17"/>
  <c r="AU54" i="17"/>
  <c r="AV54" i="17"/>
  <c r="AW54" i="17"/>
  <c r="AX54" i="17"/>
  <c r="AY54" i="17"/>
  <c r="AZ54" i="17"/>
  <c r="BA54" i="17"/>
  <c r="BB54" i="17"/>
  <c r="BC54" i="17"/>
  <c r="BD54" i="17"/>
  <c r="BE54" i="17"/>
  <c r="BF54" i="17"/>
  <c r="BG54" i="17"/>
  <c r="BH54" i="17"/>
  <c r="BI54" i="17"/>
  <c r="BJ54" i="17"/>
  <c r="BK54" i="17"/>
  <c r="BL54" i="17"/>
  <c r="BM54" i="17"/>
  <c r="BN54" i="17"/>
  <c r="BO54" i="17"/>
  <c r="BP54" i="17"/>
  <c r="BQ54" i="17"/>
  <c r="BR54" i="17"/>
  <c r="BS54" i="17"/>
  <c r="BT54" i="17"/>
  <c r="BU54" i="17"/>
  <c r="BV54" i="17"/>
  <c r="BW54" i="17"/>
  <c r="BX54" i="17"/>
  <c r="BY54" i="17"/>
  <c r="BZ54" i="17"/>
  <c r="CA54" i="17"/>
  <c r="C54" i="17"/>
  <c r="D143" i="18"/>
  <c r="E143" i="18"/>
  <c r="F143" i="18"/>
  <c r="G143" i="18"/>
  <c r="H143" i="18"/>
  <c r="I143" i="18"/>
  <c r="J143" i="18"/>
  <c r="K143" i="18"/>
  <c r="L143" i="18"/>
  <c r="M143" i="18"/>
  <c r="N143" i="18"/>
  <c r="O143" i="18"/>
  <c r="P143" i="18"/>
  <c r="Q143" i="18"/>
  <c r="R143" i="18"/>
  <c r="S143" i="18"/>
  <c r="T143" i="18"/>
  <c r="U143" i="18"/>
  <c r="V143" i="18"/>
  <c r="W143" i="18"/>
  <c r="X143" i="18"/>
  <c r="Y143" i="18"/>
  <c r="Z143" i="18"/>
  <c r="AA143" i="18"/>
  <c r="AB143" i="18"/>
  <c r="AC143" i="18"/>
  <c r="AD143" i="18"/>
  <c r="AE143" i="18"/>
  <c r="AF143" i="18"/>
  <c r="AG143" i="18"/>
  <c r="AH143" i="18"/>
  <c r="AI143" i="18"/>
  <c r="AJ143" i="18"/>
  <c r="AK143" i="18"/>
  <c r="AL143" i="18"/>
  <c r="AM143" i="18"/>
  <c r="AN143" i="18"/>
  <c r="AO143" i="18"/>
  <c r="AP143" i="18"/>
  <c r="AQ143" i="18"/>
  <c r="AR143" i="18"/>
  <c r="AS143" i="18"/>
  <c r="AT143" i="18"/>
  <c r="AU143" i="18"/>
  <c r="AV143" i="18"/>
  <c r="AW143" i="18"/>
  <c r="AX143" i="18"/>
  <c r="AY143" i="18"/>
  <c r="AZ143" i="18"/>
  <c r="BA143" i="18"/>
  <c r="BB143" i="18"/>
  <c r="BC143" i="18"/>
  <c r="BD143" i="18"/>
  <c r="BE143" i="18"/>
  <c r="BF143" i="18"/>
  <c r="BG143" i="18"/>
  <c r="BH143" i="18"/>
  <c r="BI143" i="18"/>
  <c r="BJ143" i="18"/>
  <c r="BK143" i="18"/>
  <c r="BL143" i="18"/>
  <c r="BM143" i="18"/>
  <c r="BN143" i="18"/>
  <c r="BO143" i="18"/>
  <c r="BP143" i="18"/>
  <c r="BQ143" i="18"/>
  <c r="BR143" i="18"/>
  <c r="BS143" i="18"/>
  <c r="BT143" i="18"/>
  <c r="BU143" i="18"/>
  <c r="BV143" i="18"/>
  <c r="BW143" i="18"/>
  <c r="BX143" i="18"/>
  <c r="BY143" i="18"/>
  <c r="BZ143" i="18"/>
  <c r="CA143" i="18"/>
  <c r="C143" i="18"/>
  <c r="D144" i="18"/>
  <c r="E144" i="18"/>
  <c r="F144" i="18"/>
  <c r="G144" i="18"/>
  <c r="H144" i="18"/>
  <c r="I144" i="18"/>
  <c r="J144" i="18"/>
  <c r="K144" i="18"/>
  <c r="L144" i="18"/>
  <c r="M144" i="18"/>
  <c r="N144" i="18"/>
  <c r="O144" i="18"/>
  <c r="P144" i="18"/>
  <c r="Q144" i="18"/>
  <c r="R144" i="18"/>
  <c r="S144" i="18"/>
  <c r="T144" i="18"/>
  <c r="U144" i="18"/>
  <c r="V144" i="18"/>
  <c r="W144" i="18"/>
  <c r="X144" i="18"/>
  <c r="Y144" i="18"/>
  <c r="Z144" i="18"/>
  <c r="AA144" i="18"/>
  <c r="AB144" i="18"/>
  <c r="AC144" i="18"/>
  <c r="AD144" i="18"/>
  <c r="AE144" i="18"/>
  <c r="AF144" i="18"/>
  <c r="AG144" i="18"/>
  <c r="AH144" i="18"/>
  <c r="AI144" i="18"/>
  <c r="AJ144" i="18"/>
  <c r="AK144" i="18"/>
  <c r="AL144" i="18"/>
  <c r="AM144" i="18"/>
  <c r="AN144" i="18"/>
  <c r="AO144" i="18"/>
  <c r="AP144" i="18"/>
  <c r="AQ144" i="18"/>
  <c r="AR144" i="18"/>
  <c r="AS144" i="18"/>
  <c r="AT144" i="18"/>
  <c r="AU144" i="18"/>
  <c r="AV144" i="18"/>
  <c r="AW144" i="18"/>
  <c r="AX144" i="18"/>
  <c r="AY144" i="18"/>
  <c r="AZ144" i="18"/>
  <c r="BA144" i="18"/>
  <c r="BB144" i="18"/>
  <c r="BC144" i="18"/>
  <c r="BD144" i="18"/>
  <c r="BE144" i="18"/>
  <c r="BF144" i="18"/>
  <c r="BG144" i="18"/>
  <c r="BH144" i="18"/>
  <c r="BI144" i="18"/>
  <c r="BJ144" i="18"/>
  <c r="BK144" i="18"/>
  <c r="BL144" i="18"/>
  <c r="BM144" i="18"/>
  <c r="BN144" i="18"/>
  <c r="BO144" i="18"/>
  <c r="BP144" i="18"/>
  <c r="BQ144" i="18"/>
  <c r="BR144" i="18"/>
  <c r="BS144" i="18"/>
  <c r="BT144" i="18"/>
  <c r="BU144" i="18"/>
  <c r="BV144" i="18"/>
  <c r="BW144" i="18"/>
  <c r="BX144" i="18"/>
  <c r="BY144" i="18"/>
  <c r="BZ144" i="18"/>
  <c r="C144" i="18"/>
  <c r="D141" i="18"/>
  <c r="E141" i="18"/>
  <c r="F141" i="18"/>
  <c r="G141" i="18"/>
  <c r="H141" i="18"/>
  <c r="I141" i="18"/>
  <c r="J141" i="18"/>
  <c r="K141" i="18"/>
  <c r="L141" i="18"/>
  <c r="M141" i="18"/>
  <c r="N141" i="18"/>
  <c r="O141" i="18"/>
  <c r="P141" i="18"/>
  <c r="Q141" i="18"/>
  <c r="R141" i="18"/>
  <c r="S141" i="18"/>
  <c r="T141" i="18"/>
  <c r="U141" i="18"/>
  <c r="V141" i="18"/>
  <c r="W141" i="18"/>
  <c r="X141" i="18"/>
  <c r="Y141" i="18"/>
  <c r="Z141" i="18"/>
  <c r="AA141" i="18"/>
  <c r="AB141" i="18"/>
  <c r="AC141" i="18"/>
  <c r="AD141" i="18"/>
  <c r="AE141" i="18"/>
  <c r="AF141" i="18"/>
  <c r="AG141" i="18"/>
  <c r="AH141" i="18"/>
  <c r="AI141" i="18"/>
  <c r="AJ141" i="18"/>
  <c r="AK141" i="18"/>
  <c r="AL141" i="18"/>
  <c r="AM141" i="18"/>
  <c r="AN141" i="18"/>
  <c r="AO141" i="18"/>
  <c r="AP141" i="18"/>
  <c r="AQ141" i="18"/>
  <c r="AR141" i="18"/>
  <c r="AS141" i="18"/>
  <c r="AT141" i="18"/>
  <c r="AU141" i="18"/>
  <c r="AV141" i="18"/>
  <c r="AW141" i="18"/>
  <c r="AX141" i="18"/>
  <c r="AY141" i="18"/>
  <c r="AZ141" i="18"/>
  <c r="BA141" i="18"/>
  <c r="BB141" i="18"/>
  <c r="BC141" i="18"/>
  <c r="BD141" i="18"/>
  <c r="BE141" i="18"/>
  <c r="BF141" i="18"/>
  <c r="BG141" i="18"/>
  <c r="BH141" i="18"/>
  <c r="BI141" i="18"/>
  <c r="BJ141" i="18"/>
  <c r="BK141" i="18"/>
  <c r="BL141" i="18"/>
  <c r="BM141" i="18"/>
  <c r="BN141" i="18"/>
  <c r="BO141" i="18"/>
  <c r="BP141" i="18"/>
  <c r="BQ141" i="18"/>
  <c r="BR141" i="18"/>
  <c r="BS141" i="18"/>
  <c r="BT141" i="18"/>
  <c r="BU141" i="18"/>
  <c r="BV141" i="18"/>
  <c r="BW141" i="18"/>
  <c r="BX141" i="18"/>
  <c r="BY141" i="18"/>
  <c r="BZ141" i="18"/>
  <c r="C141" i="18"/>
  <c r="D117" i="18"/>
  <c r="E117" i="18"/>
  <c r="F117" i="18"/>
  <c r="G117" i="18"/>
  <c r="H117" i="18"/>
  <c r="I117" i="18"/>
  <c r="J117" i="18"/>
  <c r="K117" i="18"/>
  <c r="L117" i="18"/>
  <c r="M117" i="18"/>
  <c r="N117" i="18"/>
  <c r="O117" i="18"/>
  <c r="P117" i="18"/>
  <c r="Q117" i="18"/>
  <c r="R117" i="18"/>
  <c r="S117" i="18"/>
  <c r="T117" i="18"/>
  <c r="U117" i="18"/>
  <c r="V117" i="18"/>
  <c r="W117" i="18"/>
  <c r="X117" i="18"/>
  <c r="Y117" i="18"/>
  <c r="Z117" i="18"/>
  <c r="AA117" i="18"/>
  <c r="AB117" i="18"/>
  <c r="AC117" i="18"/>
  <c r="AD117" i="18"/>
  <c r="AE117" i="18"/>
  <c r="AF117" i="18"/>
  <c r="AG117" i="18"/>
  <c r="AH117" i="18"/>
  <c r="AI117" i="18"/>
  <c r="AJ117" i="18"/>
  <c r="AK117" i="18"/>
  <c r="AL117" i="18"/>
  <c r="AM117" i="18"/>
  <c r="AN117" i="18"/>
  <c r="AO117" i="18"/>
  <c r="AP117" i="18"/>
  <c r="AQ117" i="18"/>
  <c r="AR117" i="18"/>
  <c r="AS117" i="18"/>
  <c r="AT117" i="18"/>
  <c r="AU117" i="18"/>
  <c r="AV117" i="18"/>
  <c r="AW117" i="18"/>
  <c r="AX117" i="18"/>
  <c r="AY117" i="18"/>
  <c r="AZ117" i="18"/>
  <c r="BA117" i="18"/>
  <c r="BB117" i="18"/>
  <c r="BC117" i="18"/>
  <c r="BD117" i="18"/>
  <c r="BE117" i="18"/>
  <c r="BF117" i="18"/>
  <c r="BG117" i="18"/>
  <c r="BH117" i="18"/>
  <c r="BI117" i="18"/>
  <c r="BJ117" i="18"/>
  <c r="BK117" i="18"/>
  <c r="BL117" i="18"/>
  <c r="BM117" i="18"/>
  <c r="BN117" i="18"/>
  <c r="BO117" i="18"/>
  <c r="BP117" i="18"/>
  <c r="BQ117" i="18"/>
  <c r="BR117" i="18"/>
  <c r="BS117" i="18"/>
  <c r="BT117" i="18"/>
  <c r="BU117" i="18"/>
  <c r="BV117" i="18"/>
  <c r="BW117" i="18"/>
  <c r="BX117" i="18"/>
  <c r="BY117" i="18"/>
  <c r="BZ117" i="18"/>
  <c r="CA117" i="18"/>
  <c r="C117" i="18"/>
  <c r="D107" i="18"/>
  <c r="E107" i="18"/>
  <c r="F107" i="18"/>
  <c r="G107" i="18"/>
  <c r="H107" i="18"/>
  <c r="I107" i="18"/>
  <c r="J107" i="18"/>
  <c r="K107" i="18"/>
  <c r="L107" i="18"/>
  <c r="M107" i="18"/>
  <c r="N107" i="18"/>
  <c r="O107" i="18"/>
  <c r="P107" i="18"/>
  <c r="Q107" i="18"/>
  <c r="R107" i="18"/>
  <c r="S107" i="18"/>
  <c r="T107" i="18"/>
  <c r="U107" i="18"/>
  <c r="V107" i="18"/>
  <c r="W107" i="18"/>
  <c r="X107" i="18"/>
  <c r="Y107" i="18"/>
  <c r="Z107" i="18"/>
  <c r="AA107" i="18"/>
  <c r="AB107" i="18"/>
  <c r="AC107" i="18"/>
  <c r="AD107" i="18"/>
  <c r="AE107" i="18"/>
  <c r="AF107" i="18"/>
  <c r="AG107" i="18"/>
  <c r="AH107" i="18"/>
  <c r="AI107" i="18"/>
  <c r="AJ107" i="18"/>
  <c r="AK107" i="18"/>
  <c r="AL107" i="18"/>
  <c r="AM107" i="18"/>
  <c r="AN107" i="18"/>
  <c r="AO107" i="18"/>
  <c r="AP107" i="18"/>
  <c r="AQ107" i="18"/>
  <c r="AR107" i="18"/>
  <c r="AS107" i="18"/>
  <c r="AT107" i="18"/>
  <c r="AU107" i="18"/>
  <c r="AV107" i="18"/>
  <c r="AW107" i="18"/>
  <c r="AX107" i="18"/>
  <c r="AY107" i="18"/>
  <c r="AZ107" i="18"/>
  <c r="BA107" i="18"/>
  <c r="BB107" i="18"/>
  <c r="BC107" i="18"/>
  <c r="BD107" i="18"/>
  <c r="BE107" i="18"/>
  <c r="BF107" i="18"/>
  <c r="BG107" i="18"/>
  <c r="BH107" i="18"/>
  <c r="BI107" i="18"/>
  <c r="BJ107" i="18"/>
  <c r="BK107" i="18"/>
  <c r="BL107" i="18"/>
  <c r="BM107" i="18"/>
  <c r="BN107" i="18"/>
  <c r="BO107" i="18"/>
  <c r="BP107" i="18"/>
  <c r="BQ107" i="18"/>
  <c r="BR107" i="18"/>
  <c r="BS107" i="18"/>
  <c r="BT107" i="18"/>
  <c r="BU107" i="18"/>
  <c r="BV107" i="18"/>
  <c r="BW107" i="18"/>
  <c r="BX107" i="18"/>
  <c r="BY107" i="18"/>
  <c r="BZ107" i="18"/>
  <c r="CA107" i="18"/>
  <c r="C107" i="18"/>
  <c r="D108" i="18"/>
  <c r="E108" i="18"/>
  <c r="F108" i="18"/>
  <c r="G108" i="18"/>
  <c r="H108" i="18"/>
  <c r="I108" i="18"/>
  <c r="J108" i="18"/>
  <c r="K108" i="18"/>
  <c r="L108" i="18"/>
  <c r="M108" i="18"/>
  <c r="N108" i="18"/>
  <c r="O108" i="18"/>
  <c r="P108" i="18"/>
  <c r="Q108" i="18"/>
  <c r="R108" i="18"/>
  <c r="S108" i="18"/>
  <c r="T108" i="18"/>
  <c r="U108" i="18"/>
  <c r="V108" i="18"/>
  <c r="W108" i="18"/>
  <c r="X108" i="18"/>
  <c r="Y108" i="18"/>
  <c r="Z108" i="18"/>
  <c r="AA108" i="18"/>
  <c r="AB108" i="18"/>
  <c r="AC108" i="18"/>
  <c r="AD108" i="18"/>
  <c r="AE108" i="18"/>
  <c r="AF108" i="18"/>
  <c r="AG108" i="18"/>
  <c r="AH108" i="18"/>
  <c r="AI108" i="18"/>
  <c r="AJ108" i="18"/>
  <c r="AK108" i="18"/>
  <c r="AL108" i="18"/>
  <c r="AM108" i="18"/>
  <c r="AN108" i="18"/>
  <c r="AO108" i="18"/>
  <c r="AP108" i="18"/>
  <c r="AQ108" i="18"/>
  <c r="AR108" i="18"/>
  <c r="AS108" i="18"/>
  <c r="AT108" i="18"/>
  <c r="AU108" i="18"/>
  <c r="AV108" i="18"/>
  <c r="AW108" i="18"/>
  <c r="AX108" i="18"/>
  <c r="AY108" i="18"/>
  <c r="AZ108" i="18"/>
  <c r="BA108" i="18"/>
  <c r="BB108" i="18"/>
  <c r="BC108" i="18"/>
  <c r="BD108" i="18"/>
  <c r="BE108" i="18"/>
  <c r="BF108" i="18"/>
  <c r="BG108" i="18"/>
  <c r="BH108" i="18"/>
  <c r="BI108" i="18"/>
  <c r="BJ108" i="18"/>
  <c r="BK108" i="18"/>
  <c r="BL108" i="18"/>
  <c r="BM108" i="18"/>
  <c r="BN108" i="18"/>
  <c r="BO108" i="18"/>
  <c r="BP108" i="18"/>
  <c r="BQ108" i="18"/>
  <c r="BR108" i="18"/>
  <c r="BS108" i="18"/>
  <c r="BT108" i="18"/>
  <c r="BU108" i="18"/>
  <c r="BV108" i="18"/>
  <c r="BW108" i="18"/>
  <c r="BX108" i="18"/>
  <c r="BY108" i="18"/>
  <c r="BZ108" i="18"/>
  <c r="CA108" i="18"/>
  <c r="C108" i="18"/>
  <c r="D66" i="18"/>
  <c r="E66" i="18"/>
  <c r="F66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AC66" i="18"/>
  <c r="AD66" i="18"/>
  <c r="AE66" i="18"/>
  <c r="AF66" i="18"/>
  <c r="AG66" i="18"/>
  <c r="AH66" i="18"/>
  <c r="AI66" i="18"/>
  <c r="AJ66" i="18"/>
  <c r="AK66" i="18"/>
  <c r="AL66" i="18"/>
  <c r="AM66" i="18"/>
  <c r="AN66" i="18"/>
  <c r="AO66" i="18"/>
  <c r="AP66" i="18"/>
  <c r="AQ66" i="18"/>
  <c r="AR66" i="18"/>
  <c r="AS66" i="18"/>
  <c r="AT66" i="18"/>
  <c r="AU66" i="18"/>
  <c r="AV66" i="18"/>
  <c r="AW66" i="18"/>
  <c r="AX66" i="18"/>
  <c r="AY66" i="18"/>
  <c r="AZ66" i="18"/>
  <c r="BA66" i="18"/>
  <c r="BB66" i="18"/>
  <c r="BC66" i="18"/>
  <c r="BD66" i="18"/>
  <c r="BE66" i="18"/>
  <c r="BF66" i="18"/>
  <c r="BG66" i="18"/>
  <c r="BH66" i="18"/>
  <c r="BI66" i="18"/>
  <c r="BJ66" i="18"/>
  <c r="BK66" i="18"/>
  <c r="BL66" i="18"/>
  <c r="BM66" i="18"/>
  <c r="BN66" i="18"/>
  <c r="BO66" i="18"/>
  <c r="BP66" i="18"/>
  <c r="BQ66" i="18"/>
  <c r="BR66" i="18"/>
  <c r="BS66" i="18"/>
  <c r="BT66" i="18"/>
  <c r="BU66" i="18"/>
  <c r="BV66" i="18"/>
  <c r="BW66" i="18"/>
  <c r="BX66" i="18"/>
  <c r="BY66" i="18"/>
  <c r="BZ66" i="18"/>
  <c r="CA66" i="18"/>
  <c r="C66" i="18"/>
  <c r="D91" i="19"/>
  <c r="B91" i="19"/>
  <c r="D90" i="19"/>
  <c r="B90" i="19"/>
  <c r="D89" i="19"/>
  <c r="B89" i="19"/>
  <c r="D88" i="19"/>
  <c r="B88" i="19"/>
  <c r="D87" i="19"/>
  <c r="B87" i="19"/>
  <c r="D86" i="19"/>
  <c r="B86" i="19"/>
  <c r="D85" i="19"/>
  <c r="B85" i="19"/>
  <c r="D84" i="19"/>
  <c r="B84" i="19"/>
  <c r="D83" i="19"/>
  <c r="B83" i="19"/>
  <c r="D82" i="19"/>
  <c r="B82" i="19"/>
  <c r="D81" i="19"/>
  <c r="B81" i="19"/>
  <c r="D80" i="19"/>
  <c r="B80" i="19"/>
  <c r="D79" i="19"/>
  <c r="B79" i="19"/>
  <c r="D78" i="19"/>
  <c r="B78" i="19"/>
  <c r="D77" i="19"/>
  <c r="B77" i="19"/>
  <c r="D76" i="19"/>
  <c r="B76" i="19"/>
  <c r="D75" i="19"/>
  <c r="B75" i="19"/>
  <c r="D74" i="19"/>
  <c r="B74" i="19"/>
  <c r="D73" i="19"/>
  <c r="B73" i="19"/>
  <c r="D72" i="19"/>
  <c r="B72" i="19"/>
  <c r="D71" i="19"/>
  <c r="B71" i="19"/>
  <c r="D70" i="19"/>
  <c r="B70" i="19"/>
  <c r="D69" i="19"/>
  <c r="B69" i="19"/>
  <c r="D68" i="19"/>
  <c r="B68" i="19"/>
  <c r="D67" i="19"/>
  <c r="B67" i="19"/>
  <c r="D66" i="19"/>
  <c r="B66" i="19"/>
  <c r="D65" i="19"/>
  <c r="B65" i="19"/>
  <c r="D64" i="19"/>
  <c r="B64" i="19"/>
  <c r="D63" i="19"/>
  <c r="B63" i="19"/>
  <c r="D62" i="19"/>
  <c r="B62" i="19"/>
  <c r="D61" i="19"/>
  <c r="B61" i="19"/>
  <c r="D60" i="19"/>
  <c r="B60" i="19"/>
  <c r="D59" i="19"/>
  <c r="B59" i="19"/>
  <c r="D58" i="19"/>
  <c r="B58" i="19"/>
  <c r="D57" i="19"/>
  <c r="B57" i="19"/>
  <c r="D56" i="19"/>
  <c r="B56" i="19"/>
  <c r="D55" i="19"/>
  <c r="B55" i="19"/>
  <c r="D54" i="19"/>
  <c r="B54" i="19"/>
  <c r="D53" i="19"/>
  <c r="B53" i="19"/>
  <c r="D52" i="19"/>
  <c r="B52" i="19"/>
  <c r="D51" i="19"/>
  <c r="B51" i="19"/>
  <c r="D50" i="19"/>
  <c r="B50" i="19"/>
  <c r="D49" i="19"/>
  <c r="B49" i="19"/>
  <c r="D48" i="19"/>
  <c r="B48" i="19"/>
  <c r="D47" i="19"/>
  <c r="B47" i="19"/>
  <c r="D46" i="19"/>
  <c r="B46" i="19"/>
  <c r="D45" i="19"/>
  <c r="B45" i="19"/>
  <c r="D44" i="19"/>
  <c r="B44" i="19"/>
  <c r="D43" i="19"/>
  <c r="B43" i="19"/>
  <c r="D42" i="19"/>
  <c r="B42" i="19"/>
  <c r="D41" i="19"/>
  <c r="B41" i="19"/>
  <c r="D40" i="19"/>
  <c r="B40" i="19"/>
  <c r="D39" i="19"/>
  <c r="B39" i="19"/>
  <c r="D38" i="19"/>
  <c r="B38" i="19"/>
  <c r="D37" i="19"/>
  <c r="B37" i="19"/>
  <c r="D36" i="19"/>
  <c r="B36" i="19"/>
  <c r="D35" i="19"/>
  <c r="B35" i="19"/>
  <c r="D34" i="19"/>
  <c r="B34" i="19"/>
  <c r="D33" i="19"/>
  <c r="B33" i="19"/>
  <c r="D32" i="19"/>
  <c r="B32" i="19"/>
  <c r="D31" i="19"/>
  <c r="B31" i="19"/>
  <c r="D30" i="19"/>
  <c r="B30" i="19"/>
  <c r="D29" i="19"/>
  <c r="B29" i="19"/>
  <c r="D28" i="19"/>
  <c r="B28" i="19"/>
  <c r="D27" i="19"/>
  <c r="B27" i="19"/>
  <c r="D26" i="19"/>
  <c r="B26" i="19"/>
  <c r="D25" i="19"/>
  <c r="B25" i="19"/>
  <c r="D24" i="19"/>
  <c r="B24" i="19"/>
  <c r="D23" i="19"/>
  <c r="B23" i="19"/>
  <c r="D22" i="19"/>
  <c r="B22" i="19"/>
  <c r="D21" i="19"/>
  <c r="B21" i="19"/>
  <c r="D20" i="19"/>
  <c r="B20" i="19"/>
  <c r="D19" i="19"/>
  <c r="B19" i="19"/>
  <c r="D18" i="19"/>
  <c r="B18" i="19"/>
  <c r="D17" i="19"/>
  <c r="B17" i="19"/>
  <c r="D16" i="19"/>
  <c r="B16" i="19"/>
  <c r="D15" i="19"/>
  <c r="B15" i="19"/>
  <c r="D14" i="19"/>
  <c r="B14" i="19"/>
  <c r="D13" i="19"/>
  <c r="B13" i="19"/>
  <c r="D12" i="19"/>
  <c r="B12" i="19"/>
  <c r="D11" i="19"/>
  <c r="B11" i="19"/>
  <c r="D10" i="19"/>
  <c r="B10" i="19"/>
  <c r="CA142" i="18"/>
  <c r="BZ140" i="18"/>
  <c r="BY140" i="18"/>
  <c r="BX140" i="18"/>
  <c r="BW140" i="18"/>
  <c r="BV140" i="18"/>
  <c r="BU140" i="18"/>
  <c r="BT140" i="18"/>
  <c r="BS140" i="18"/>
  <c r="BR140" i="18"/>
  <c r="BQ140" i="18"/>
  <c r="BP140" i="18"/>
  <c r="BO140" i="18"/>
  <c r="BN140" i="18"/>
  <c r="BM140" i="18"/>
  <c r="BL140" i="18"/>
  <c r="BK140" i="18"/>
  <c r="BJ140" i="18"/>
  <c r="BI140" i="18"/>
  <c r="BH140" i="18"/>
  <c r="BG140" i="18"/>
  <c r="BF140" i="18"/>
  <c r="BE140" i="18"/>
  <c r="BD140" i="18"/>
  <c r="BC140" i="18"/>
  <c r="BB140" i="18"/>
  <c r="BA140" i="18"/>
  <c r="AZ140" i="18"/>
  <c r="AY140" i="18"/>
  <c r="AX140" i="18"/>
  <c r="AW140" i="18"/>
  <c r="AV140" i="18"/>
  <c r="AU140" i="18"/>
  <c r="AT140" i="18"/>
  <c r="AS140" i="18"/>
  <c r="AR140" i="18"/>
  <c r="AQ140" i="18"/>
  <c r="AP140" i="18"/>
  <c r="AO140" i="18"/>
  <c r="AN140" i="18"/>
  <c r="AL140" i="18"/>
  <c r="AK140" i="18"/>
  <c r="AJ140" i="18"/>
  <c r="AI140" i="18"/>
  <c r="AH140" i="18"/>
  <c r="AG140" i="18"/>
  <c r="AF140" i="18"/>
  <c r="AE140" i="18"/>
  <c r="AD140" i="18"/>
  <c r="AC140" i="18"/>
  <c r="AB140" i="18"/>
  <c r="AA140" i="18"/>
  <c r="Z140" i="18"/>
  <c r="Y140" i="18"/>
  <c r="X140" i="18"/>
  <c r="W140" i="18"/>
  <c r="V140" i="18"/>
  <c r="U140" i="18"/>
  <c r="T140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A140" i="18" s="1"/>
  <c r="C140" i="18"/>
  <c r="CA139" i="18"/>
  <c r="CA138" i="18"/>
  <c r="CA137" i="18"/>
  <c r="CA136" i="18"/>
  <c r="CA135" i="18"/>
  <c r="CA141" i="18" s="1"/>
  <c r="CA144" i="18" s="1"/>
  <c r="CA134" i="18"/>
  <c r="CA133" i="18"/>
  <c r="CA132" i="18"/>
  <c r="CA131" i="18"/>
  <c r="CA130" i="18"/>
  <c r="CA129" i="18"/>
  <c r="CA128" i="18"/>
  <c r="CA127" i="18"/>
  <c r="CA126" i="18"/>
  <c r="CA125" i="18"/>
  <c r="CA124" i="18"/>
  <c r="CA123" i="18"/>
  <c r="CA122" i="18"/>
  <c r="CA121" i="18"/>
  <c r="FI9" i="18" s="1"/>
  <c r="CA120" i="18"/>
  <c r="CA119" i="18"/>
  <c r="CA118" i="18"/>
  <c r="CA116" i="18"/>
  <c r="CA115" i="18"/>
  <c r="CA114" i="18"/>
  <c r="CA113" i="18"/>
  <c r="CA112" i="18"/>
  <c r="CA111" i="18"/>
  <c r="CA110" i="18"/>
  <c r="CA109" i="18"/>
  <c r="CA106" i="18"/>
  <c r="CA105" i="18"/>
  <c r="CA104" i="18"/>
  <c r="CA103" i="18"/>
  <c r="CA102" i="18"/>
  <c r="CA101" i="18"/>
  <c r="CA100" i="18"/>
  <c r="CA99" i="18"/>
  <c r="CA98" i="18"/>
  <c r="CA97" i="18"/>
  <c r="CA96" i="18"/>
  <c r="CA95" i="18"/>
  <c r="CA94" i="18"/>
  <c r="CA93" i="18"/>
  <c r="CA92" i="18"/>
  <c r="CA91" i="18"/>
  <c r="CA90" i="18"/>
  <c r="CA89" i="18"/>
  <c r="CA88" i="18"/>
  <c r="CA87" i="18"/>
  <c r="CA86" i="18"/>
  <c r="FI7" i="18" s="1"/>
  <c r="CA85" i="18"/>
  <c r="CA84" i="18"/>
  <c r="CA83" i="18"/>
  <c r="CA82" i="18"/>
  <c r="CA81" i="18"/>
  <c r="CA80" i="18"/>
  <c r="CA79" i="18"/>
  <c r="FI8" i="18" s="1"/>
  <c r="CA78" i="18"/>
  <c r="CA77" i="18"/>
  <c r="FI6" i="18" s="1"/>
  <c r="CA76" i="18"/>
  <c r="CA75" i="18"/>
  <c r="CA74" i="18"/>
  <c r="CA73" i="18"/>
  <c r="CA72" i="18"/>
  <c r="CA71" i="18"/>
  <c r="CA70" i="18"/>
  <c r="CA69" i="18"/>
  <c r="CA68" i="18"/>
  <c r="CA67" i="18"/>
  <c r="CA65" i="18"/>
  <c r="CA64" i="18"/>
  <c r="CA63" i="18"/>
  <c r="CA62" i="18"/>
  <c r="CA61" i="18"/>
  <c r="CA60" i="18"/>
  <c r="CA59" i="18"/>
  <c r="CA58" i="18"/>
  <c r="CA57" i="18"/>
  <c r="CA56" i="18"/>
  <c r="CA55" i="18"/>
  <c r="CA54" i="18"/>
  <c r="CA53" i="18"/>
  <c r="CA52" i="18"/>
  <c r="CA51" i="18"/>
  <c r="CA50" i="18"/>
  <c r="CA49" i="18"/>
  <c r="CA48" i="18"/>
  <c r="CA47" i="18"/>
  <c r="CA46" i="18"/>
  <c r="CA45" i="18"/>
  <c r="CA44" i="18"/>
  <c r="CA43" i="18"/>
  <c r="CA42" i="18"/>
  <c r="CA41" i="18"/>
  <c r="CA40" i="18"/>
  <c r="CA39" i="18"/>
  <c r="CA38" i="18"/>
  <c r="CA37" i="18"/>
  <c r="CA36" i="18"/>
  <c r="CA35" i="18"/>
  <c r="CA34" i="18"/>
  <c r="CA33" i="18"/>
  <c r="CA32" i="18"/>
  <c r="CA31" i="18"/>
  <c r="CA30" i="18"/>
  <c r="CA29" i="18"/>
  <c r="CA28" i="18"/>
  <c r="CA27" i="18"/>
  <c r="CA26" i="18"/>
  <c r="CA25" i="18"/>
  <c r="CA24" i="18"/>
  <c r="CA23" i="18"/>
  <c r="CA22" i="18"/>
  <c r="CA21" i="18"/>
  <c r="CA20" i="18"/>
  <c r="CA19" i="18"/>
  <c r="CA18" i="18"/>
  <c r="CA17" i="18"/>
  <c r="CA16" i="18"/>
  <c r="CA15" i="18"/>
  <c r="CA14" i="18"/>
  <c r="CA13" i="18"/>
  <c r="FI5" i="18" s="1"/>
  <c r="CA12" i="18"/>
  <c r="EY11" i="18"/>
  <c r="EM11" i="18"/>
  <c r="EA11" i="18"/>
  <c r="DO11" i="18"/>
  <c r="DC11" i="18"/>
  <c r="CQ11" i="18"/>
  <c r="CA11" i="18"/>
  <c r="CA10" i="18"/>
  <c r="FH9" i="18"/>
  <c r="FG9" i="18"/>
  <c r="FF9" i="18"/>
  <c r="FE9" i="18"/>
  <c r="FD9" i="18"/>
  <c r="FC9" i="18"/>
  <c r="FB9" i="18"/>
  <c r="FA9" i="18"/>
  <c r="EZ9" i="18"/>
  <c r="EY9" i="18"/>
  <c r="EX9" i="18"/>
  <c r="EW9" i="18"/>
  <c r="EV9" i="18"/>
  <c r="EU9" i="18"/>
  <c r="ET9" i="18"/>
  <c r="ES9" i="18"/>
  <c r="ER9" i="18"/>
  <c r="EQ9" i="18"/>
  <c r="EP9" i="18"/>
  <c r="EO9" i="18"/>
  <c r="EN9" i="18"/>
  <c r="EM9" i="18"/>
  <c r="EL9" i="18"/>
  <c r="EK9" i="18"/>
  <c r="EJ9" i="18"/>
  <c r="EI9" i="18"/>
  <c r="EH9" i="18"/>
  <c r="EG9" i="18"/>
  <c r="EF9" i="18"/>
  <c r="EE9" i="18"/>
  <c r="ED9" i="18"/>
  <c r="EC9" i="18"/>
  <c r="EB9" i="18"/>
  <c r="EA9" i="18"/>
  <c r="DZ9" i="18"/>
  <c r="DY9" i="18"/>
  <c r="DX9" i="18"/>
  <c r="DW9" i="18"/>
  <c r="DV9" i="18"/>
  <c r="DU9" i="18"/>
  <c r="DT9" i="18"/>
  <c r="DS9" i="18"/>
  <c r="DR9" i="18"/>
  <c r="DQ9" i="18"/>
  <c r="DP9" i="18"/>
  <c r="DO9" i="18"/>
  <c r="DN9" i="18"/>
  <c r="DM9" i="18"/>
  <c r="DL9" i="18"/>
  <c r="DK9" i="18"/>
  <c r="DJ9" i="18"/>
  <c r="DI9" i="18"/>
  <c r="DH9" i="18"/>
  <c r="DG9" i="18"/>
  <c r="DF9" i="18"/>
  <c r="DE9" i="18"/>
  <c r="DD9" i="18"/>
  <c r="DC9" i="18"/>
  <c r="DB9" i="18"/>
  <c r="DA9" i="18"/>
  <c r="CZ9" i="18"/>
  <c r="CY9" i="18"/>
  <c r="CX9" i="18"/>
  <c r="CW9" i="18"/>
  <c r="CV9" i="18"/>
  <c r="CU9" i="18"/>
  <c r="CT9" i="18"/>
  <c r="CS9" i="18"/>
  <c r="CR9" i="18"/>
  <c r="CQ9" i="18"/>
  <c r="CP9" i="18"/>
  <c r="CO9" i="18"/>
  <c r="CN9" i="18"/>
  <c r="CM9" i="18"/>
  <c r="CL9" i="18"/>
  <c r="CK9" i="18"/>
  <c r="CA9" i="18"/>
  <c r="FH8" i="18"/>
  <c r="FG8" i="18"/>
  <c r="FF8" i="18"/>
  <c r="FE8" i="18"/>
  <c r="FD8" i="18"/>
  <c r="FC8" i="18"/>
  <c r="FB8" i="18"/>
  <c r="FA8" i="18"/>
  <c r="EZ8" i="18"/>
  <c r="EY8" i="18"/>
  <c r="EX8" i="18"/>
  <c r="EW8" i="18"/>
  <c r="EV8" i="18"/>
  <c r="EU8" i="18"/>
  <c r="ET8" i="18"/>
  <c r="ES8" i="18"/>
  <c r="ER8" i="18"/>
  <c r="EQ8" i="18"/>
  <c r="EP8" i="18"/>
  <c r="EO8" i="18"/>
  <c r="EN8" i="18"/>
  <c r="EM8" i="18"/>
  <c r="EL8" i="18"/>
  <c r="EK8" i="18"/>
  <c r="EJ8" i="18"/>
  <c r="EI8" i="18"/>
  <c r="EH8" i="18"/>
  <c r="EG8" i="18"/>
  <c r="EF8" i="18"/>
  <c r="EE8" i="18"/>
  <c r="ED8" i="18"/>
  <c r="EC8" i="18"/>
  <c r="EB8" i="18"/>
  <c r="EA8" i="18"/>
  <c r="DZ8" i="18"/>
  <c r="DY8" i="18"/>
  <c r="DX8" i="18"/>
  <c r="DW8" i="18"/>
  <c r="DV8" i="18"/>
  <c r="DU8" i="18"/>
  <c r="DT8" i="18"/>
  <c r="DS8" i="18"/>
  <c r="DR8" i="18"/>
  <c r="DQ8" i="18"/>
  <c r="DP8" i="18"/>
  <c r="DO8" i="18"/>
  <c r="DN8" i="18"/>
  <c r="DM8" i="18"/>
  <c r="DL8" i="18"/>
  <c r="DK8" i="18"/>
  <c r="DJ8" i="18"/>
  <c r="DI8" i="18"/>
  <c r="DH8" i="18"/>
  <c r="DG8" i="18"/>
  <c r="DF8" i="18"/>
  <c r="DE8" i="18"/>
  <c r="DD8" i="18"/>
  <c r="DC8" i="18"/>
  <c r="DB8" i="18"/>
  <c r="DA8" i="18"/>
  <c r="CZ8" i="18"/>
  <c r="CY8" i="18"/>
  <c r="CX8" i="18"/>
  <c r="CW8" i="18"/>
  <c r="CV8" i="18"/>
  <c r="CU8" i="18"/>
  <c r="CT8" i="18"/>
  <c r="CS8" i="18"/>
  <c r="CR8" i="18"/>
  <c r="CQ8" i="18"/>
  <c r="CP8" i="18"/>
  <c r="CO8" i="18"/>
  <c r="CN8" i="18"/>
  <c r="CM8" i="18"/>
  <c r="CL8" i="18"/>
  <c r="CK8" i="18"/>
  <c r="CA8" i="18"/>
  <c r="FH7" i="18"/>
  <c r="FG7" i="18"/>
  <c r="FF7" i="18"/>
  <c r="FE7" i="18"/>
  <c r="FD7" i="18"/>
  <c r="FC7" i="18"/>
  <c r="FB7" i="18"/>
  <c r="FA7" i="18"/>
  <c r="EZ7" i="18"/>
  <c r="EY7" i="18"/>
  <c r="EX7" i="18"/>
  <c r="EW7" i="18"/>
  <c r="EV7" i="18"/>
  <c r="EU7" i="18"/>
  <c r="ET7" i="18"/>
  <c r="ES7" i="18"/>
  <c r="ER7" i="18"/>
  <c r="EQ7" i="18"/>
  <c r="EP7" i="18"/>
  <c r="EO7" i="18"/>
  <c r="EN7" i="18"/>
  <c r="EM7" i="18"/>
  <c r="EL7" i="18"/>
  <c r="EK7" i="18"/>
  <c r="EJ7" i="18"/>
  <c r="EI7" i="18"/>
  <c r="EH7" i="18"/>
  <c r="EG7" i="18"/>
  <c r="EF7" i="18"/>
  <c r="EE7" i="18"/>
  <c r="ED7" i="18"/>
  <c r="EC7" i="18"/>
  <c r="EB7" i="18"/>
  <c r="EA7" i="18"/>
  <c r="DZ7" i="18"/>
  <c r="DY7" i="18"/>
  <c r="DX7" i="18"/>
  <c r="DW7" i="18"/>
  <c r="DV7" i="18"/>
  <c r="DU7" i="18"/>
  <c r="DT7" i="18"/>
  <c r="DS7" i="18"/>
  <c r="DR7" i="18"/>
  <c r="DQ7" i="18"/>
  <c r="DP7" i="18"/>
  <c r="DO7" i="18"/>
  <c r="DN7" i="18"/>
  <c r="DM7" i="18"/>
  <c r="DL7" i="18"/>
  <c r="DK7" i="18"/>
  <c r="DJ7" i="18"/>
  <c r="DI7" i="18"/>
  <c r="DH7" i="18"/>
  <c r="DG7" i="18"/>
  <c r="DF7" i="18"/>
  <c r="DE7" i="18"/>
  <c r="DD7" i="18"/>
  <c r="DC7" i="18"/>
  <c r="DB7" i="18"/>
  <c r="DA7" i="18"/>
  <c r="CZ7" i="18"/>
  <c r="CY7" i="18"/>
  <c r="CX7" i="18"/>
  <c r="CW7" i="18"/>
  <c r="CV7" i="18"/>
  <c r="CU7" i="18"/>
  <c r="CT7" i="18"/>
  <c r="CS7" i="18"/>
  <c r="CR7" i="18"/>
  <c r="CQ7" i="18"/>
  <c r="CP7" i="18"/>
  <c r="CO7" i="18"/>
  <c r="CN7" i="18"/>
  <c r="CM7" i="18"/>
  <c r="CL7" i="18"/>
  <c r="CK7" i="18"/>
  <c r="CA7" i="18"/>
  <c r="FH6" i="18"/>
  <c r="FG6" i="18"/>
  <c r="FF6" i="18"/>
  <c r="FE6" i="18"/>
  <c r="FE11" i="18" s="1"/>
  <c r="FD6" i="18"/>
  <c r="FD11" i="18" s="1"/>
  <c r="FC6" i="18"/>
  <c r="FC11" i="18" s="1"/>
  <c r="FB6" i="18"/>
  <c r="FB11" i="18" s="1"/>
  <c r="FA6" i="18"/>
  <c r="FA11" i="18" s="1"/>
  <c r="EZ6" i="18"/>
  <c r="EZ11" i="18" s="1"/>
  <c r="EY6" i="18"/>
  <c r="EX6" i="18"/>
  <c r="EW6" i="18"/>
  <c r="EV6" i="18"/>
  <c r="EU6" i="18"/>
  <c r="ET6" i="18"/>
  <c r="ES6" i="18"/>
  <c r="ES11" i="18" s="1"/>
  <c r="ER6" i="18"/>
  <c r="ER11" i="18" s="1"/>
  <c r="EQ6" i="18"/>
  <c r="EQ11" i="18" s="1"/>
  <c r="EP6" i="18"/>
  <c r="EP11" i="18" s="1"/>
  <c r="EO6" i="18"/>
  <c r="EO11" i="18" s="1"/>
  <c r="EN6" i="18"/>
  <c r="EN11" i="18" s="1"/>
  <c r="EM6" i="18"/>
  <c r="EL6" i="18"/>
  <c r="EK6" i="18"/>
  <c r="EJ6" i="18"/>
  <c r="EI6" i="18"/>
  <c r="EH6" i="18"/>
  <c r="EG6" i="18"/>
  <c r="EG11" i="18" s="1"/>
  <c r="EF6" i="18"/>
  <c r="EF11" i="18" s="1"/>
  <c r="EE6" i="18"/>
  <c r="EE11" i="18" s="1"/>
  <c r="ED6" i="18"/>
  <c r="ED11" i="18" s="1"/>
  <c r="EC6" i="18"/>
  <c r="EC11" i="18" s="1"/>
  <c r="EB6" i="18"/>
  <c r="EB11" i="18" s="1"/>
  <c r="EA6" i="18"/>
  <c r="DZ6" i="18"/>
  <c r="DY6" i="18"/>
  <c r="DX6" i="18"/>
  <c r="DW6" i="18"/>
  <c r="DV6" i="18"/>
  <c r="DU6" i="18"/>
  <c r="DU11" i="18" s="1"/>
  <c r="DT6" i="18"/>
  <c r="DT11" i="18" s="1"/>
  <c r="DS6" i="18"/>
  <c r="DS11" i="18" s="1"/>
  <c r="DR6" i="18"/>
  <c r="DR11" i="18" s="1"/>
  <c r="DQ6" i="18"/>
  <c r="DQ11" i="18" s="1"/>
  <c r="DP6" i="18"/>
  <c r="DP11" i="18" s="1"/>
  <c r="DO6" i="18"/>
  <c r="DN6" i="18"/>
  <c r="DM6" i="18"/>
  <c r="DL6" i="18"/>
  <c r="DK6" i="18"/>
  <c r="DJ6" i="18"/>
  <c r="DI6" i="18"/>
  <c r="DI11" i="18" s="1"/>
  <c r="DH6" i="18"/>
  <c r="DH11" i="18" s="1"/>
  <c r="DG6" i="18"/>
  <c r="DG11" i="18" s="1"/>
  <c r="DF6" i="18"/>
  <c r="DF11" i="18" s="1"/>
  <c r="DE6" i="18"/>
  <c r="DE11" i="18" s="1"/>
  <c r="DD6" i="18"/>
  <c r="DD11" i="18" s="1"/>
  <c r="DC6" i="18"/>
  <c r="DB6" i="18"/>
  <c r="DA6" i="18"/>
  <c r="CZ6" i="18"/>
  <c r="CY6" i="18"/>
  <c r="CX6" i="18"/>
  <c r="CW6" i="18"/>
  <c r="CW11" i="18" s="1"/>
  <c r="CV6" i="18"/>
  <c r="CV11" i="18" s="1"/>
  <c r="CU6" i="18"/>
  <c r="CU11" i="18" s="1"/>
  <c r="CT6" i="18"/>
  <c r="CT11" i="18" s="1"/>
  <c r="CS6" i="18"/>
  <c r="CS11" i="18" s="1"/>
  <c r="CR6" i="18"/>
  <c r="CR11" i="18" s="1"/>
  <c r="CQ6" i="18"/>
  <c r="CP6" i="18"/>
  <c r="CO6" i="18"/>
  <c r="CN6" i="18"/>
  <c r="CM6" i="18"/>
  <c r="CL6" i="18"/>
  <c r="CK6" i="18"/>
  <c r="CK11" i="18" s="1"/>
  <c r="CA6" i="18"/>
  <c r="FH5" i="18"/>
  <c r="FH11" i="18" s="1"/>
  <c r="FG5" i="18"/>
  <c r="FG11" i="18" s="1"/>
  <c r="FF5" i="18"/>
  <c r="FF11" i="18" s="1"/>
  <c r="FE5" i="18"/>
  <c r="FD5" i="18"/>
  <c r="FC5" i="18"/>
  <c r="FB5" i="18"/>
  <c r="FA5" i="18"/>
  <c r="EZ5" i="18"/>
  <c r="EY5" i="18"/>
  <c r="EX5" i="18"/>
  <c r="EX11" i="18" s="1"/>
  <c r="EW5" i="18"/>
  <c r="EW11" i="18" s="1"/>
  <c r="EV5" i="18"/>
  <c r="EV11" i="18" s="1"/>
  <c r="EU5" i="18"/>
  <c r="EU11" i="18" s="1"/>
  <c r="ET5" i="18"/>
  <c r="ET11" i="18" s="1"/>
  <c r="ES5" i="18"/>
  <c r="ER5" i="18"/>
  <c r="EQ5" i="18"/>
  <c r="EP5" i="18"/>
  <c r="EO5" i="18"/>
  <c r="EN5" i="18"/>
  <c r="EM5" i="18"/>
  <c r="EL5" i="18"/>
  <c r="EL11" i="18" s="1"/>
  <c r="EK5" i="18"/>
  <c r="EK11" i="18" s="1"/>
  <c r="EJ5" i="18"/>
  <c r="EJ11" i="18" s="1"/>
  <c r="EI5" i="18"/>
  <c r="EI11" i="18" s="1"/>
  <c r="EH5" i="18"/>
  <c r="EH11" i="18" s="1"/>
  <c r="EG5" i="18"/>
  <c r="EF5" i="18"/>
  <c r="EE5" i="18"/>
  <c r="ED5" i="18"/>
  <c r="EC5" i="18"/>
  <c r="EB5" i="18"/>
  <c r="EA5" i="18"/>
  <c r="DZ5" i="18"/>
  <c r="DZ11" i="18" s="1"/>
  <c r="DY5" i="18"/>
  <c r="DY11" i="18" s="1"/>
  <c r="DX5" i="18"/>
  <c r="DX11" i="18" s="1"/>
  <c r="DW5" i="18"/>
  <c r="DW11" i="18" s="1"/>
  <c r="DV5" i="18"/>
  <c r="DV11" i="18" s="1"/>
  <c r="DU5" i="18"/>
  <c r="DT5" i="18"/>
  <c r="DS5" i="18"/>
  <c r="DR5" i="18"/>
  <c r="DQ5" i="18"/>
  <c r="DP5" i="18"/>
  <c r="DO5" i="18"/>
  <c r="DN5" i="18"/>
  <c r="DN11" i="18" s="1"/>
  <c r="DM5" i="18"/>
  <c r="DM11" i="18" s="1"/>
  <c r="DL5" i="18"/>
  <c r="DL11" i="18" s="1"/>
  <c r="DK5" i="18"/>
  <c r="DK11" i="18" s="1"/>
  <c r="DJ5" i="18"/>
  <c r="DJ11" i="18" s="1"/>
  <c r="DI5" i="18"/>
  <c r="DH5" i="18"/>
  <c r="DG5" i="18"/>
  <c r="DF5" i="18"/>
  <c r="DE5" i="18"/>
  <c r="DD5" i="18"/>
  <c r="DC5" i="18"/>
  <c r="DB5" i="18"/>
  <c r="DB11" i="18" s="1"/>
  <c r="DA5" i="18"/>
  <c r="DA11" i="18" s="1"/>
  <c r="CZ5" i="18"/>
  <c r="CZ11" i="18" s="1"/>
  <c r="CY5" i="18"/>
  <c r="CY11" i="18" s="1"/>
  <c r="CX5" i="18"/>
  <c r="CX11" i="18" s="1"/>
  <c r="CW5" i="18"/>
  <c r="CV5" i="18"/>
  <c r="CU5" i="18"/>
  <c r="CT5" i="18"/>
  <c r="CS5" i="18"/>
  <c r="CR5" i="18"/>
  <c r="CQ5" i="18"/>
  <c r="CP5" i="18"/>
  <c r="CP11" i="18" s="1"/>
  <c r="CO5" i="18"/>
  <c r="CO11" i="18" s="1"/>
  <c r="CN5" i="18"/>
  <c r="CN11" i="18" s="1"/>
  <c r="CM5" i="18"/>
  <c r="CM11" i="18" s="1"/>
  <c r="CL5" i="18"/>
  <c r="CL11" i="18" s="1"/>
  <c r="CK5" i="18"/>
  <c r="FI11" i="18" l="1"/>
  <c r="CA262" i="17"/>
  <c r="CA261" i="17"/>
  <c r="FE6" i="17" s="1"/>
  <c r="CA260" i="17"/>
  <c r="CA259" i="17"/>
  <c r="CA258" i="17"/>
  <c r="CA257" i="17"/>
  <c r="CA256" i="17"/>
  <c r="CA255" i="17"/>
  <c r="CA254" i="17"/>
  <c r="CA253" i="17"/>
  <c r="CA252" i="17"/>
  <c r="CA251" i="17"/>
  <c r="CA250" i="17"/>
  <c r="CA249" i="17"/>
  <c r="CA248" i="17"/>
  <c r="CA247" i="17"/>
  <c r="CA246" i="17"/>
  <c r="CA245" i="17"/>
  <c r="CA244" i="17"/>
  <c r="CA243" i="17"/>
  <c r="CA242" i="17"/>
  <c r="CA241" i="17"/>
  <c r="CA240" i="17"/>
  <c r="BZ238" i="17"/>
  <c r="BY238" i="17"/>
  <c r="CA238" i="17" s="1"/>
  <c r="BX238" i="17"/>
  <c r="AN238" i="17"/>
  <c r="AH238" i="17"/>
  <c r="Q238" i="17"/>
  <c r="N238" i="17"/>
  <c r="BY237" i="17"/>
  <c r="BX237" i="17"/>
  <c r="AN237" i="17"/>
  <c r="CA237" i="17" s="1"/>
  <c r="CA236" i="17"/>
  <c r="CA235" i="17"/>
  <c r="CA234" i="17"/>
  <c r="CA233" i="17"/>
  <c r="BZ232" i="17"/>
  <c r="BY232" i="17"/>
  <c r="BX232" i="17"/>
  <c r="AQ232" i="17"/>
  <c r="AN232" i="17"/>
  <c r="AH232" i="17"/>
  <c r="Q232" i="17"/>
  <c r="N232" i="17"/>
  <c r="CA232" i="17" s="1"/>
  <c r="BY231" i="17"/>
  <c r="CA231" i="17" s="1"/>
  <c r="BX231" i="17"/>
  <c r="AQ231" i="17"/>
  <c r="AN231" i="17"/>
  <c r="BZ230" i="17"/>
  <c r="BY230" i="17"/>
  <c r="BX230" i="17"/>
  <c r="BG230" i="17"/>
  <c r="AQ230" i="17"/>
  <c r="AN230" i="17"/>
  <c r="AH230" i="17"/>
  <c r="DL9" i="17" s="1"/>
  <c r="Q230" i="17"/>
  <c r="N230" i="17"/>
  <c r="CA230" i="17" s="1"/>
  <c r="CA229" i="17"/>
  <c r="BX228" i="17"/>
  <c r="CA228" i="17" s="1"/>
  <c r="CA227" i="17"/>
  <c r="CA226" i="17"/>
  <c r="BX225" i="17"/>
  <c r="CA225" i="17" s="1"/>
  <c r="BY224" i="17"/>
  <c r="BX224" i="17"/>
  <c r="CA224" i="17" s="1"/>
  <c r="CA223" i="17"/>
  <c r="BY223" i="17"/>
  <c r="BX223" i="17"/>
  <c r="AN223" i="17"/>
  <c r="CA222" i="17"/>
  <c r="CA221" i="17"/>
  <c r="CA220" i="17"/>
  <c r="CA219" i="17"/>
  <c r="CA218" i="17"/>
  <c r="CA217" i="17"/>
  <c r="CA216" i="17"/>
  <c r="CA215" i="17"/>
  <c r="CA214" i="17"/>
  <c r="CA213" i="17"/>
  <c r="CA212" i="17"/>
  <c r="CA211" i="17"/>
  <c r="BZ210" i="17"/>
  <c r="BY210" i="17"/>
  <c r="BX210" i="17"/>
  <c r="CA210" i="17" s="1"/>
  <c r="BZ209" i="17"/>
  <c r="BY209" i="17"/>
  <c r="BX209" i="17"/>
  <c r="BG209" i="17"/>
  <c r="AQ209" i="17"/>
  <c r="AN209" i="17"/>
  <c r="AH209" i="17"/>
  <c r="S209" i="17"/>
  <c r="Q209" i="17"/>
  <c r="N209" i="17"/>
  <c r="CR9" i="17" s="1"/>
  <c r="CA208" i="17"/>
  <c r="CA207" i="17"/>
  <c r="CA206" i="17"/>
  <c r="CA205" i="17"/>
  <c r="CA204" i="17"/>
  <c r="CA203" i="17"/>
  <c r="BY203" i="17"/>
  <c r="BZ202" i="17"/>
  <c r="BY202" i="17"/>
  <c r="BX202" i="17"/>
  <c r="AN202" i="17"/>
  <c r="AH202" i="17"/>
  <c r="CA202" i="17" s="1"/>
  <c r="BY201" i="17"/>
  <c r="BX201" i="17"/>
  <c r="CA201" i="17" s="1"/>
  <c r="BY200" i="17"/>
  <c r="BX200" i="17"/>
  <c r="CA199" i="17"/>
  <c r="BY199" i="17"/>
  <c r="BX199" i="17"/>
  <c r="BY198" i="17"/>
  <c r="CA198" i="17" s="1"/>
  <c r="AN197" i="17"/>
  <c r="Q197" i="17"/>
  <c r="CA197" i="17" s="1"/>
  <c r="CA196" i="17"/>
  <c r="BZ195" i="17"/>
  <c r="CA195" i="17" s="1"/>
  <c r="BY195" i="17"/>
  <c r="BX195" i="17"/>
  <c r="BV195" i="17"/>
  <c r="AN195" i="17"/>
  <c r="S195" i="17"/>
  <c r="Q195" i="17"/>
  <c r="CA194" i="17"/>
  <c r="BZ193" i="17"/>
  <c r="BY193" i="17"/>
  <c r="BX193" i="17"/>
  <c r="AN193" i="17"/>
  <c r="DR9" i="17" s="1"/>
  <c r="Q193" i="17"/>
  <c r="CA193" i="17" s="1"/>
  <c r="CA192" i="17"/>
  <c r="CA191" i="17"/>
  <c r="CA190" i="17"/>
  <c r="CA189" i="17"/>
  <c r="CA188" i="17"/>
  <c r="CA187" i="17"/>
  <c r="CA186" i="17"/>
  <c r="CA185" i="17"/>
  <c r="BZ183" i="17"/>
  <c r="BY183" i="17"/>
  <c r="CA183" i="17" s="1"/>
  <c r="BX183" i="17"/>
  <c r="Q183" i="17"/>
  <c r="CA182" i="17"/>
  <c r="BY181" i="17"/>
  <c r="BX181" i="17"/>
  <c r="BV181" i="17"/>
  <c r="BG181" i="17"/>
  <c r="AN181" i="17"/>
  <c r="Q181" i="17"/>
  <c r="CA181" i="17" s="1"/>
  <c r="BZ180" i="17"/>
  <c r="CA180" i="17" s="1"/>
  <c r="BY180" i="17"/>
  <c r="BX180" i="17"/>
  <c r="BG180" i="17"/>
  <c r="AN180" i="17"/>
  <c r="Q180" i="17"/>
  <c r="N180" i="17"/>
  <c r="BZ179" i="17"/>
  <c r="BX179" i="17"/>
  <c r="CA179" i="17" s="1"/>
  <c r="CA178" i="17"/>
  <c r="CA177" i="17"/>
  <c r="FE5" i="17" s="1"/>
  <c r="CA176" i="17"/>
  <c r="CA175" i="17"/>
  <c r="CA174" i="17"/>
  <c r="FE8" i="17" s="1"/>
  <c r="CA173" i="17"/>
  <c r="CA172" i="17"/>
  <c r="CA171" i="17"/>
  <c r="CA170" i="17"/>
  <c r="CA169" i="17"/>
  <c r="CA168" i="17"/>
  <c r="CA167" i="17"/>
  <c r="CA166" i="17"/>
  <c r="CA165" i="17"/>
  <c r="CA164" i="17"/>
  <c r="BY164" i="17"/>
  <c r="BX164" i="17"/>
  <c r="Q164" i="17"/>
  <c r="BZ163" i="17"/>
  <c r="BY163" i="17"/>
  <c r="BX163" i="17"/>
  <c r="Q163" i="17"/>
  <c r="CA163" i="17" s="1"/>
  <c r="CA162" i="17"/>
  <c r="BZ161" i="17"/>
  <c r="BY161" i="17"/>
  <c r="CA161" i="17" s="1"/>
  <c r="BX161" i="17"/>
  <c r="BG161" i="17"/>
  <c r="N161" i="17"/>
  <c r="BZ160" i="17"/>
  <c r="BY160" i="17"/>
  <c r="CA160" i="17" s="1"/>
  <c r="CA159" i="17"/>
  <c r="CA158" i="17"/>
  <c r="CA157" i="17"/>
  <c r="CA156" i="17"/>
  <c r="BY155" i="17"/>
  <c r="CA155" i="17" s="1"/>
  <c r="CA154" i="17"/>
  <c r="BY154" i="17"/>
  <c r="BX154" i="17"/>
  <c r="AN154" i="17"/>
  <c r="AH154" i="17"/>
  <c r="S154" i="17"/>
  <c r="Q154" i="17"/>
  <c r="N154" i="17"/>
  <c r="BY153" i="17"/>
  <c r="BX153" i="17"/>
  <c r="AN153" i="17"/>
  <c r="CA153" i="17" s="1"/>
  <c r="CA152" i="17"/>
  <c r="BY152" i="17"/>
  <c r="Q152" i="17"/>
  <c r="BZ151" i="17"/>
  <c r="BY151" i="17"/>
  <c r="BX151" i="17"/>
  <c r="AN151" i="17"/>
  <c r="CA151" i="17" s="1"/>
  <c r="CA150" i="17"/>
  <c r="CA149" i="17"/>
  <c r="CA148" i="17"/>
  <c r="CA147" i="17"/>
  <c r="BY147" i="17"/>
  <c r="BG147" i="17"/>
  <c r="AN147" i="17"/>
  <c r="Q147" i="17"/>
  <c r="BX146" i="17"/>
  <c r="CA146" i="17" s="1"/>
  <c r="BY145" i="17"/>
  <c r="BX145" i="17"/>
  <c r="Q145" i="17"/>
  <c r="CA145" i="17" s="1"/>
  <c r="BZ144" i="17"/>
  <c r="CA144" i="17" s="1"/>
  <c r="BY144" i="17"/>
  <c r="BX144" i="17"/>
  <c r="N144" i="17"/>
  <c r="BY143" i="17"/>
  <c r="BX143" i="17"/>
  <c r="BG143" i="17"/>
  <c r="AN143" i="17"/>
  <c r="Q143" i="17"/>
  <c r="CA143" i="17" s="1"/>
  <c r="BX142" i="17"/>
  <c r="CA142" i="17" s="1"/>
  <c r="CA141" i="17"/>
  <c r="BZ141" i="17"/>
  <c r="BY141" i="17"/>
  <c r="BX141" i="17"/>
  <c r="S141" i="17"/>
  <c r="Q141" i="17"/>
  <c r="N141" i="17"/>
  <c r="BZ140" i="17"/>
  <c r="BY140" i="17"/>
  <c r="BX140" i="17"/>
  <c r="AN140" i="17"/>
  <c r="DR7" i="17" s="1"/>
  <c r="Q140" i="17"/>
  <c r="CA140" i="17" s="1"/>
  <c r="CA139" i="17"/>
  <c r="BY139" i="17"/>
  <c r="BX139" i="17"/>
  <c r="BY138" i="17"/>
  <c r="BX138" i="17"/>
  <c r="BG138" i="17"/>
  <c r="AQ138" i="17"/>
  <c r="AN138" i="17"/>
  <c r="CA138" i="17" s="1"/>
  <c r="BZ137" i="17"/>
  <c r="BY137" i="17"/>
  <c r="CA137" i="17" s="1"/>
  <c r="BX137" i="17"/>
  <c r="Q137" i="17"/>
  <c r="BY136" i="17"/>
  <c r="BX136" i="17"/>
  <c r="N136" i="17"/>
  <c r="CA136" i="17" s="1"/>
  <c r="BY135" i="17"/>
  <c r="BX135" i="17"/>
  <c r="CA135" i="17" s="1"/>
  <c r="CA134" i="17"/>
  <c r="BZ133" i="17"/>
  <c r="CA133" i="17" s="1"/>
  <c r="BY133" i="17"/>
  <c r="BX133" i="17"/>
  <c r="AN133" i="17"/>
  <c r="AH133" i="17"/>
  <c r="Q133" i="17"/>
  <c r="N133" i="17"/>
  <c r="BY132" i="17"/>
  <c r="BX132" i="17"/>
  <c r="Q132" i="17"/>
  <c r="N132" i="17"/>
  <c r="CA132" i="17" s="1"/>
  <c r="CA131" i="17"/>
  <c r="CA130" i="17"/>
  <c r="BY130" i="17"/>
  <c r="BX130" i="17"/>
  <c r="CA129" i="17"/>
  <c r="BZ128" i="17"/>
  <c r="BY128" i="17"/>
  <c r="BX128" i="17"/>
  <c r="CA128" i="17" s="1"/>
  <c r="BY127" i="17"/>
  <c r="CA127" i="17" s="1"/>
  <c r="CA126" i="17"/>
  <c r="CA125" i="17"/>
  <c r="BY125" i="17"/>
  <c r="CA124" i="17"/>
  <c r="BY124" i="17"/>
  <c r="CA123" i="17"/>
  <c r="BY122" i="17"/>
  <c r="CA122" i="17" s="1"/>
  <c r="BY121" i="17"/>
  <c r="CA121" i="17" s="1"/>
  <c r="BY120" i="17"/>
  <c r="CA120" i="17" s="1"/>
  <c r="CA119" i="17"/>
  <c r="CA118" i="17"/>
  <c r="BY118" i="17"/>
  <c r="CA117" i="17"/>
  <c r="BY117" i="17"/>
  <c r="CA116" i="17"/>
  <c r="BY116" i="17"/>
  <c r="BY115" i="17"/>
  <c r="CA115" i="17" s="1"/>
  <c r="BY114" i="17"/>
  <c r="CA114" i="17" s="1"/>
  <c r="BY113" i="17"/>
  <c r="CA113" i="17" s="1"/>
  <c r="CA112" i="17"/>
  <c r="BY112" i="17"/>
  <c r="CA111" i="17"/>
  <c r="CA110" i="17"/>
  <c r="CA109" i="17"/>
  <c r="BY109" i="17"/>
  <c r="BY108" i="17"/>
  <c r="CA108" i="17" s="1"/>
  <c r="BY107" i="17"/>
  <c r="CA107" i="17" s="1"/>
  <c r="BY106" i="17"/>
  <c r="BX106" i="17"/>
  <c r="CA106" i="17" s="1"/>
  <c r="Q106" i="17"/>
  <c r="CA105" i="17"/>
  <c r="BY105" i="17"/>
  <c r="BV105" i="17"/>
  <c r="Q105" i="17"/>
  <c r="BY104" i="17"/>
  <c r="CA104" i="17" s="1"/>
  <c r="CA103" i="17"/>
  <c r="CA102" i="17"/>
  <c r="CA101" i="17"/>
  <c r="CA100" i="17"/>
  <c r="CA99" i="17"/>
  <c r="Q99" i="17"/>
  <c r="CA98" i="17"/>
  <c r="CA97" i="17"/>
  <c r="BY96" i="17"/>
  <c r="BX96" i="17"/>
  <c r="CA96" i="17" s="1"/>
  <c r="CA95" i="17"/>
  <c r="CA94" i="17"/>
  <c r="BY93" i="17"/>
  <c r="BX93" i="17"/>
  <c r="CA93" i="17" s="1"/>
  <c r="CA92" i="17"/>
  <c r="CA91" i="17"/>
  <c r="BZ90" i="17"/>
  <c r="BY90" i="17"/>
  <c r="BX90" i="17"/>
  <c r="BG90" i="17"/>
  <c r="AN90" i="17"/>
  <c r="Q90" i="17"/>
  <c r="CA90" i="17" s="1"/>
  <c r="BY89" i="17"/>
  <c r="BX89" i="17"/>
  <c r="FB7" i="17" s="1"/>
  <c r="CA88" i="17"/>
  <c r="CA87" i="17"/>
  <c r="BZ87" i="17"/>
  <c r="BY87" i="17"/>
  <c r="BX87" i="17"/>
  <c r="CA86" i="17"/>
  <c r="CA85" i="17"/>
  <c r="CA84" i="17"/>
  <c r="CA83" i="17"/>
  <c r="CA82" i="17"/>
  <c r="CA81" i="17"/>
  <c r="CA80" i="17"/>
  <c r="CA79" i="17"/>
  <c r="CA78" i="17"/>
  <c r="CA77" i="17"/>
  <c r="CA76" i="17"/>
  <c r="BX75" i="17"/>
  <c r="BG75" i="17"/>
  <c r="AQ75" i="17"/>
  <c r="AN75" i="17"/>
  <c r="AH75" i="17"/>
  <c r="S75" i="17"/>
  <c r="Q75" i="17"/>
  <c r="N75" i="17"/>
  <c r="CA75" i="17" s="1"/>
  <c r="BZ74" i="17"/>
  <c r="BY74" i="17"/>
  <c r="BX74" i="17"/>
  <c r="AQ74" i="17"/>
  <c r="AN74" i="17"/>
  <c r="AH74" i="17"/>
  <c r="S74" i="17"/>
  <c r="N74" i="17"/>
  <c r="CA74" i="17" s="1"/>
  <c r="BY73" i="17"/>
  <c r="CA73" i="17" s="1"/>
  <c r="CA72" i="17"/>
  <c r="CA71" i="17"/>
  <c r="CA70" i="17"/>
  <c r="BZ69" i="17"/>
  <c r="BY69" i="17"/>
  <c r="BX69" i="17"/>
  <c r="BG69" i="17"/>
  <c r="EK7" i="17" s="1"/>
  <c r="AN69" i="17"/>
  <c r="AH69" i="17"/>
  <c r="DL7" i="17" s="1"/>
  <c r="Q69" i="17"/>
  <c r="N69" i="17"/>
  <c r="CA68" i="17"/>
  <c r="CA67" i="17"/>
  <c r="BZ67" i="17"/>
  <c r="BY67" i="17"/>
  <c r="BX67" i="17"/>
  <c r="AH67" i="17"/>
  <c r="Q67" i="17"/>
  <c r="CA66" i="17"/>
  <c r="CA65" i="17"/>
  <c r="CA64" i="17"/>
  <c r="BZ63" i="17"/>
  <c r="BY63" i="17"/>
  <c r="CA63" i="17" s="1"/>
  <c r="BX63" i="17"/>
  <c r="BG63" i="17"/>
  <c r="AN63" i="17"/>
  <c r="AH63" i="17"/>
  <c r="Q63" i="17"/>
  <c r="N63" i="17"/>
  <c r="CR7" i="17" s="1"/>
  <c r="CA62" i="17"/>
  <c r="CA61" i="17"/>
  <c r="CA59" i="17"/>
  <c r="CA58" i="17"/>
  <c r="CA57" i="17"/>
  <c r="CA56" i="17"/>
  <c r="CA55" i="17"/>
  <c r="CA53" i="17"/>
  <c r="CA52" i="17"/>
  <c r="CA51" i="17"/>
  <c r="CA50" i="17"/>
  <c r="CA49" i="17"/>
  <c r="CA48" i="17"/>
  <c r="CA47" i="17"/>
  <c r="CA46" i="17"/>
  <c r="CA45" i="17"/>
  <c r="CA44" i="17"/>
  <c r="CA43" i="17"/>
  <c r="CA42" i="17"/>
  <c r="CA41" i="17"/>
  <c r="CA40" i="17"/>
  <c r="CA39" i="17"/>
  <c r="CA38" i="17"/>
  <c r="CA37" i="17"/>
  <c r="CA36" i="17"/>
  <c r="CA35" i="17"/>
  <c r="CA34" i="17"/>
  <c r="CA33" i="17"/>
  <c r="CA32" i="17"/>
  <c r="CA31" i="17"/>
  <c r="CA30" i="17"/>
  <c r="CA29" i="17"/>
  <c r="CA28" i="17"/>
  <c r="CA27" i="17"/>
  <c r="CA26" i="17"/>
  <c r="CA25" i="17"/>
  <c r="CA24" i="17"/>
  <c r="CA23" i="17"/>
  <c r="CA22" i="17"/>
  <c r="CA21" i="17"/>
  <c r="CA20" i="17"/>
  <c r="CA19" i="17"/>
  <c r="CA18" i="17"/>
  <c r="CA17" i="17"/>
  <c r="CA16" i="17"/>
  <c r="CA15" i="17"/>
  <c r="CA14" i="17"/>
  <c r="CA13" i="17"/>
  <c r="CA12" i="17"/>
  <c r="CA11" i="17"/>
  <c r="CA10" i="17"/>
  <c r="FC9" i="17"/>
  <c r="FA9" i="17"/>
  <c r="EZ9" i="17"/>
  <c r="EY9" i="17"/>
  <c r="EX9" i="17"/>
  <c r="EW9" i="17"/>
  <c r="EV9" i="17"/>
  <c r="EU9" i="17"/>
  <c r="ET9" i="17"/>
  <c r="ES9" i="17"/>
  <c r="ER9" i="17"/>
  <c r="EQ9" i="17"/>
  <c r="EP9" i="17"/>
  <c r="EO9" i="17"/>
  <c r="EN9" i="17"/>
  <c r="EM9" i="17"/>
  <c r="EL9" i="17"/>
  <c r="EJ9" i="17"/>
  <c r="EI9" i="17"/>
  <c r="EH9" i="17"/>
  <c r="EG9" i="17"/>
  <c r="EF9" i="17"/>
  <c r="EE9" i="17"/>
  <c r="ED9" i="17"/>
  <c r="EC9" i="17"/>
  <c r="EB9" i="17"/>
  <c r="EA9" i="17"/>
  <c r="DZ9" i="17"/>
  <c r="DY9" i="17"/>
  <c r="DX9" i="17"/>
  <c r="DW9" i="17"/>
  <c r="DV9" i="17"/>
  <c r="DU9" i="17"/>
  <c r="DT9" i="17"/>
  <c r="DS9" i="17"/>
  <c r="DQ9" i="17"/>
  <c r="DP9" i="17"/>
  <c r="DO9" i="17"/>
  <c r="DN9" i="17"/>
  <c r="DM9" i="17"/>
  <c r="DK9" i="17"/>
  <c r="DJ9" i="17"/>
  <c r="DI9" i="17"/>
  <c r="DH9" i="17"/>
  <c r="DG9" i="17"/>
  <c r="DF9" i="17"/>
  <c r="DE9" i="17"/>
  <c r="DD9" i="17"/>
  <c r="DC9" i="17"/>
  <c r="DB9" i="17"/>
  <c r="DA9" i="17"/>
  <c r="CZ9" i="17"/>
  <c r="CY9" i="17"/>
  <c r="CX9" i="17"/>
  <c r="CW9" i="17"/>
  <c r="CV9" i="17"/>
  <c r="CU9" i="17"/>
  <c r="CT9" i="17"/>
  <c r="CS9" i="17"/>
  <c r="CQ9" i="17"/>
  <c r="CP9" i="17"/>
  <c r="CO9" i="17"/>
  <c r="CN9" i="17"/>
  <c r="CM9" i="17"/>
  <c r="CL9" i="17"/>
  <c r="CK9" i="17"/>
  <c r="CJ9" i="17"/>
  <c r="CI9" i="17"/>
  <c r="CH9" i="17"/>
  <c r="CG9" i="17"/>
  <c r="CA9" i="17"/>
  <c r="FD8" i="17"/>
  <c r="FC8" i="17"/>
  <c r="FB8" i="17"/>
  <c r="FA8" i="17"/>
  <c r="EZ8" i="17"/>
  <c r="EY8" i="17"/>
  <c r="EX8" i="17"/>
  <c r="EW8" i="17"/>
  <c r="EV8" i="17"/>
  <c r="EU8" i="17"/>
  <c r="ET8" i="17"/>
  <c r="ES8" i="17"/>
  <c r="ER8" i="17"/>
  <c r="EQ8" i="17"/>
  <c r="EP8" i="17"/>
  <c r="EO8" i="17"/>
  <c r="EN8" i="17"/>
  <c r="EM8" i="17"/>
  <c r="EL8" i="17"/>
  <c r="EK8" i="17"/>
  <c r="EJ8" i="17"/>
  <c r="EI8" i="17"/>
  <c r="EH8" i="17"/>
  <c r="EG8" i="17"/>
  <c r="EF8" i="17"/>
  <c r="EE8" i="17"/>
  <c r="ED8" i="17"/>
  <c r="EC8" i="17"/>
  <c r="EB8" i="17"/>
  <c r="EA8" i="17"/>
  <c r="DZ8" i="17"/>
  <c r="DY8" i="17"/>
  <c r="DX8" i="17"/>
  <c r="DW8" i="17"/>
  <c r="DV8" i="17"/>
  <c r="DU8" i="17"/>
  <c r="DT8" i="17"/>
  <c r="DS8" i="17"/>
  <c r="DR8" i="17"/>
  <c r="DQ8" i="17"/>
  <c r="DP8" i="17"/>
  <c r="DO8" i="17"/>
  <c r="DN8" i="17"/>
  <c r="DM8" i="17"/>
  <c r="DL8" i="17"/>
  <c r="DK8" i="17"/>
  <c r="DJ8" i="17"/>
  <c r="DI8" i="17"/>
  <c r="DH8" i="17"/>
  <c r="DG8" i="17"/>
  <c r="DF8" i="17"/>
  <c r="DE8" i="17"/>
  <c r="DD8" i="17"/>
  <c r="DC8" i="17"/>
  <c r="DB8" i="17"/>
  <c r="DA8" i="17"/>
  <c r="CZ8" i="17"/>
  <c r="CY8" i="17"/>
  <c r="CX8" i="17"/>
  <c r="CW8" i="17"/>
  <c r="CV8" i="17"/>
  <c r="CU8" i="17"/>
  <c r="CT8" i="17"/>
  <c r="CS8" i="17"/>
  <c r="CR8" i="17"/>
  <c r="CQ8" i="17"/>
  <c r="CP8" i="17"/>
  <c r="CO8" i="17"/>
  <c r="CN8" i="17"/>
  <c r="CM8" i="17"/>
  <c r="CL8" i="17"/>
  <c r="CK8" i="17"/>
  <c r="CJ8" i="17"/>
  <c r="CI8" i="17"/>
  <c r="CH8" i="17"/>
  <c r="CG8" i="17"/>
  <c r="CA8" i="17"/>
  <c r="FC7" i="17"/>
  <c r="FA7" i="17"/>
  <c r="EY7" i="17"/>
  <c r="EX7" i="17"/>
  <c r="EW7" i="17"/>
  <c r="EV7" i="17"/>
  <c r="EU7" i="17"/>
  <c r="ET7" i="17"/>
  <c r="ES7" i="17"/>
  <c r="ER7" i="17"/>
  <c r="EQ7" i="17"/>
  <c r="EP7" i="17"/>
  <c r="EO7" i="17"/>
  <c r="EN7" i="17"/>
  <c r="EM7" i="17"/>
  <c r="EL7" i="17"/>
  <c r="EJ7" i="17"/>
  <c r="EI7" i="17"/>
  <c r="EH7" i="17"/>
  <c r="EG7" i="17"/>
  <c r="EF7" i="17"/>
  <c r="EE7" i="17"/>
  <c r="ED7" i="17"/>
  <c r="EC7" i="17"/>
  <c r="EB7" i="17"/>
  <c r="EA7" i="17"/>
  <c r="DZ7" i="17"/>
  <c r="DY7" i="17"/>
  <c r="DX7" i="17"/>
  <c r="DW7" i="17"/>
  <c r="DV7" i="17"/>
  <c r="DU7" i="17"/>
  <c r="DT7" i="17"/>
  <c r="DS7" i="17"/>
  <c r="DQ7" i="17"/>
  <c r="DP7" i="17"/>
  <c r="DO7" i="17"/>
  <c r="DN7" i="17"/>
  <c r="DM7" i="17"/>
  <c r="DK7" i="17"/>
  <c r="DJ7" i="17"/>
  <c r="DI7" i="17"/>
  <c r="DH7" i="17"/>
  <c r="DG7" i="17"/>
  <c r="DF7" i="17"/>
  <c r="DE7" i="17"/>
  <c r="DD7" i="17"/>
  <c r="DC7" i="17"/>
  <c r="DB7" i="17"/>
  <c r="DA7" i="17"/>
  <c r="CZ7" i="17"/>
  <c r="CY7" i="17"/>
  <c r="CX7" i="17"/>
  <c r="CW7" i="17"/>
  <c r="CV7" i="17"/>
  <c r="CU7" i="17"/>
  <c r="CT7" i="17"/>
  <c r="CS7" i="17"/>
  <c r="CQ7" i="17"/>
  <c r="CP7" i="17"/>
  <c r="CO7" i="17"/>
  <c r="CN7" i="17"/>
  <c r="CM7" i="17"/>
  <c r="CL7" i="17"/>
  <c r="CK7" i="17"/>
  <c r="CJ7" i="17"/>
  <c r="CI7" i="17"/>
  <c r="CH7" i="17"/>
  <c r="CG7" i="17"/>
  <c r="CA7" i="17"/>
  <c r="FD6" i="17"/>
  <c r="FC6" i="17"/>
  <c r="FB6" i="17"/>
  <c r="FA6" i="17"/>
  <c r="FA4" i="17" s="1"/>
  <c r="EZ6" i="17"/>
  <c r="EY6" i="17"/>
  <c r="EY4" i="17" s="1"/>
  <c r="EX6" i="17"/>
  <c r="EX4" i="17" s="1"/>
  <c r="EW6" i="17"/>
  <c r="EW4" i="17" s="1"/>
  <c r="EV6" i="17"/>
  <c r="EU6" i="17"/>
  <c r="ET6" i="17"/>
  <c r="ES6" i="17"/>
  <c r="ER6" i="17"/>
  <c r="EQ6" i="17"/>
  <c r="EP6" i="17"/>
  <c r="EO6" i="17"/>
  <c r="EO4" i="17" s="1"/>
  <c r="EN6" i="17"/>
  <c r="EN4" i="17" s="1"/>
  <c r="EM6" i="17"/>
  <c r="EM4" i="17" s="1"/>
  <c r="EL6" i="17"/>
  <c r="EL4" i="17" s="1"/>
  <c r="EK6" i="17"/>
  <c r="EJ6" i="17"/>
  <c r="EI6" i="17"/>
  <c r="EH6" i="17"/>
  <c r="EG6" i="17"/>
  <c r="EF6" i="17"/>
  <c r="EE6" i="17"/>
  <c r="ED6" i="17"/>
  <c r="EC6" i="17"/>
  <c r="EC4" i="17" s="1"/>
  <c r="EB6" i="17"/>
  <c r="EB4" i="17" s="1"/>
  <c r="EA6" i="17"/>
  <c r="EA4" i="17" s="1"/>
  <c r="DZ6" i="17"/>
  <c r="DZ4" i="17" s="1"/>
  <c r="DY6" i="17"/>
  <c r="DY4" i="17" s="1"/>
  <c r="DX6" i="17"/>
  <c r="DW6" i="17"/>
  <c r="DV6" i="17"/>
  <c r="DU6" i="17"/>
  <c r="DT6" i="17"/>
  <c r="DS6" i="17"/>
  <c r="DR6" i="17"/>
  <c r="DQ6" i="17"/>
  <c r="DQ4" i="17" s="1"/>
  <c r="DP6" i="17"/>
  <c r="DP4" i="17" s="1"/>
  <c r="DO6" i="17"/>
  <c r="DO4" i="17" s="1"/>
  <c r="DN6" i="17"/>
  <c r="DN4" i="17" s="1"/>
  <c r="DM6" i="17"/>
  <c r="DM4" i="17" s="1"/>
  <c r="DL6" i="17"/>
  <c r="DK6" i="17"/>
  <c r="DJ6" i="17"/>
  <c r="DI6" i="17"/>
  <c r="DH6" i="17"/>
  <c r="DG6" i="17"/>
  <c r="DF6" i="17"/>
  <c r="DE6" i="17"/>
  <c r="DE4" i="17" s="1"/>
  <c r="DD6" i="17"/>
  <c r="DD4" i="17" s="1"/>
  <c r="DC6" i="17"/>
  <c r="DC4" i="17" s="1"/>
  <c r="DB6" i="17"/>
  <c r="DB4" i="17" s="1"/>
  <c r="DA6" i="17"/>
  <c r="DA4" i="17" s="1"/>
  <c r="CZ6" i="17"/>
  <c r="CY6" i="17"/>
  <c r="CX6" i="17"/>
  <c r="CW6" i="17"/>
  <c r="CV6" i="17"/>
  <c r="CU6" i="17"/>
  <c r="CT6" i="17"/>
  <c r="CS6" i="17"/>
  <c r="CS4" i="17" s="1"/>
  <c r="CR6" i="17"/>
  <c r="CQ6" i="17"/>
  <c r="CQ4" i="17" s="1"/>
  <c r="CP6" i="17"/>
  <c r="CP4" i="17" s="1"/>
  <c r="CO6" i="17"/>
  <c r="CO4" i="17" s="1"/>
  <c r="CN6" i="17"/>
  <c r="CM6" i="17"/>
  <c r="CL6" i="17"/>
  <c r="CK6" i="17"/>
  <c r="CJ6" i="17"/>
  <c r="CI6" i="17"/>
  <c r="CH6" i="17"/>
  <c r="CG6" i="17"/>
  <c r="CG4" i="17" s="1"/>
  <c r="CA6" i="17"/>
  <c r="FD5" i="17"/>
  <c r="FC5" i="17"/>
  <c r="FC4" i="17" s="1"/>
  <c r="FB5" i="17"/>
  <c r="FA5" i="17"/>
  <c r="EZ5" i="17"/>
  <c r="EY5" i="17"/>
  <c r="EX5" i="17"/>
  <c r="EW5" i="17"/>
  <c r="EV5" i="17"/>
  <c r="EU5" i="17"/>
  <c r="ET5" i="17"/>
  <c r="ET4" i="17" s="1"/>
  <c r="ES5" i="17"/>
  <c r="ES4" i="17" s="1"/>
  <c r="ER5" i="17"/>
  <c r="ER4" i="17" s="1"/>
  <c r="EQ5" i="17"/>
  <c r="EQ4" i="17" s="1"/>
  <c r="EP5" i="17"/>
  <c r="EP4" i="17" s="1"/>
  <c r="EO5" i="17"/>
  <c r="EN5" i="17"/>
  <c r="EM5" i="17"/>
  <c r="EL5" i="17"/>
  <c r="EK5" i="17"/>
  <c r="EJ5" i="17"/>
  <c r="EI5" i="17"/>
  <c r="EH5" i="17"/>
  <c r="EH4" i="17" s="1"/>
  <c r="EG5" i="17"/>
  <c r="EG4" i="17" s="1"/>
  <c r="EF5" i="17"/>
  <c r="EF4" i="17" s="1"/>
  <c r="EE5" i="17"/>
  <c r="EE4" i="17" s="1"/>
  <c r="ED5" i="17"/>
  <c r="ED4" i="17" s="1"/>
  <c r="EC5" i="17"/>
  <c r="EB5" i="17"/>
  <c r="EA5" i="17"/>
  <c r="DZ5" i="17"/>
  <c r="DY5" i="17"/>
  <c r="DX5" i="17"/>
  <c r="DW5" i="17"/>
  <c r="DV5" i="17"/>
  <c r="DV4" i="17" s="1"/>
  <c r="DU5" i="17"/>
  <c r="DU4" i="17" s="1"/>
  <c r="DT5" i="17"/>
  <c r="DT4" i="17" s="1"/>
  <c r="DS5" i="17"/>
  <c r="DS4" i="17" s="1"/>
  <c r="DR5" i="17"/>
  <c r="DR4" i="17" s="1"/>
  <c r="DQ5" i="17"/>
  <c r="DP5" i="17"/>
  <c r="DO5" i="17"/>
  <c r="DN5" i="17"/>
  <c r="DM5" i="17"/>
  <c r="DL5" i="17"/>
  <c r="DK5" i="17"/>
  <c r="DJ5" i="17"/>
  <c r="DJ4" i="17" s="1"/>
  <c r="DI5" i="17"/>
  <c r="DI4" i="17" s="1"/>
  <c r="DH5" i="17"/>
  <c r="DH4" i="17" s="1"/>
  <c r="DG5" i="17"/>
  <c r="DG4" i="17" s="1"/>
  <c r="DF5" i="17"/>
  <c r="DF4" i="17" s="1"/>
  <c r="DE5" i="17"/>
  <c r="DD5" i="17"/>
  <c r="DC5" i="17"/>
  <c r="DB5" i="17"/>
  <c r="DA5" i="17"/>
  <c r="CZ5" i="17"/>
  <c r="CY5" i="17"/>
  <c r="CX5" i="17"/>
  <c r="CX4" i="17" s="1"/>
  <c r="CW5" i="17"/>
  <c r="CW4" i="17" s="1"/>
  <c r="CV5" i="17"/>
  <c r="CV4" i="17" s="1"/>
  <c r="CU5" i="17"/>
  <c r="CU4" i="17" s="1"/>
  <c r="CT5" i="17"/>
  <c r="CT4" i="17" s="1"/>
  <c r="CS5" i="17"/>
  <c r="CR5" i="17"/>
  <c r="CQ5" i="17"/>
  <c r="CP5" i="17"/>
  <c r="CO5" i="17"/>
  <c r="CN5" i="17"/>
  <c r="CM5" i="17"/>
  <c r="CL5" i="17"/>
  <c r="CL4" i="17" s="1"/>
  <c r="CK5" i="17"/>
  <c r="CK4" i="17" s="1"/>
  <c r="CJ5" i="17"/>
  <c r="CJ4" i="17" s="1"/>
  <c r="CI5" i="17"/>
  <c r="CI4" i="17" s="1"/>
  <c r="CH5" i="17"/>
  <c r="CH4" i="17" s="1"/>
  <c r="CG5" i="17"/>
  <c r="EV4" i="17"/>
  <c r="EU4" i="17"/>
  <c r="EJ4" i="17"/>
  <c r="EI4" i="17"/>
  <c r="DX4" i="17"/>
  <c r="DW4" i="17"/>
  <c r="DK4" i="17"/>
  <c r="CZ4" i="17"/>
  <c r="CY4" i="17"/>
  <c r="CN4" i="17"/>
  <c r="CM4" i="17"/>
  <c r="EK4" i="17" l="1"/>
  <c r="CR4" i="17"/>
  <c r="DL4" i="17"/>
  <c r="FD7" i="17"/>
  <c r="FD4" i="17" s="1"/>
  <c r="FD9" i="17"/>
  <c r="CA200" i="17"/>
  <c r="FE9" i="17" s="1"/>
  <c r="EK9" i="17"/>
  <c r="CA209" i="17"/>
  <c r="CA89" i="17"/>
  <c r="EZ7" i="17"/>
  <c r="EZ4" i="17" s="1"/>
  <c r="CA69" i="17"/>
  <c r="FE7" i="17" s="1"/>
  <c r="FE4" i="17" s="1"/>
  <c r="FB9" i="17"/>
  <c r="FB4" i="17" s="1"/>
</calcChain>
</file>

<file path=xl/sharedStrings.xml><?xml version="1.0" encoding="utf-8"?>
<sst xmlns="http://schemas.openxmlformats.org/spreadsheetml/2006/main" count="1737" uniqueCount="1408">
  <si>
    <t>Statement Of Revenues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</si>
  <si>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</si>
  <si>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</si>
  <si>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</si>
  <si>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</si>
  <si>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</si>
  <si>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</si>
  <si>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</si>
  <si>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</si>
  <si>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</si>
  <si>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 45</t>
  </si>
  <si>
    <t>Barnwell 48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</si>
  <si>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</si>
  <si>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</si>
  <si>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</si>
  <si>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</si>
  <si>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</si>
  <si>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</si>
  <si>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</si>
  <si>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</si>
  <si>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</si>
  <si>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</si>
  <si>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</si>
  <si>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</si>
  <si>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</si>
  <si>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</si>
  <si>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</si>
  <si>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</si>
  <si>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</si>
  <si>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</si>
  <si>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</si>
  <si>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</si>
  <si>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</si>
  <si>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</si>
  <si>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</si>
  <si>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</si>
  <si>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</si>
  <si>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</si>
  <si>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</si>
  <si>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</si>
  <si>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</si>
  <si>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</si>
  <si>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</si>
  <si>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</si>
  <si>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</si>
  <si>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</si>
  <si>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</si>
  <si>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</si>
  <si>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</si>
  <si>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</si>
  <si>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</si>
  <si>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</si>
  <si>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</si>
  <si>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</si>
  <si>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</si>
  <si>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</si>
  <si>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</si>
  <si>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</si>
  <si>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</si>
  <si>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</si>
  <si>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</si>
  <si>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</si>
  <si>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</si>
  <si>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</si>
  <si>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</si>
  <si>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</si>
  <si>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</si>
  <si>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</si>
  <si>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</si>
  <si>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</si>
  <si>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</si>
  <si>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</si>
  <si>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3</t>
  </si>
  <si>
    <t>York 04</t>
  </si>
  <si>
    <t>SC Public Charter School District</t>
  </si>
  <si>
    <t>Charter Institute at Erskine</t>
  </si>
  <si>
    <t>Limestone Charter Association</t>
  </si>
  <si>
    <t>1000</t>
  </si>
  <si>
    <t>Revenue from Local Sources</t>
  </si>
  <si>
    <t>Total</t>
  </si>
  <si>
    <t>1100</t>
  </si>
  <si>
    <t>Taxes Levied/Assessed by the LEA</t>
  </si>
  <si>
    <t>Local Property &amp; Other Taxes</t>
  </si>
  <si>
    <t>1110</t>
  </si>
  <si>
    <t>Ad Valorem Taxes-Including Delinquent (Independent)</t>
  </si>
  <si>
    <t>Local Licenses, Fees, &amp; Miscellaneous</t>
  </si>
  <si>
    <t>1140</t>
  </si>
  <si>
    <t>Penalties &amp; Interest on Taxes (Independent)</t>
  </si>
  <si>
    <t>State K-12 Appropriations</t>
  </si>
  <si>
    <t>1190</t>
  </si>
  <si>
    <t>Other Taxes (Independent)</t>
  </si>
  <si>
    <t>1200</t>
  </si>
  <si>
    <t>Revenue From Local Governmental Units Other Than LEAs</t>
  </si>
  <si>
    <t>All Federal Sources</t>
  </si>
  <si>
    <t>1210</t>
  </si>
  <si>
    <t>Ad Valorem Taxes-Including Delinquent (Dependent)</t>
  </si>
  <si>
    <t>1240</t>
  </si>
  <si>
    <t>Penalties &amp; Interest on Taxes (Dependent)</t>
  </si>
  <si>
    <t>1280</t>
  </si>
  <si>
    <t>Revenue in Lieu of Taxes (Independent and Dependent)</t>
  </si>
  <si>
    <t>1290</t>
  </si>
  <si>
    <t>Other Taxes (Dependent)</t>
  </si>
  <si>
    <t>1300</t>
  </si>
  <si>
    <t>Tuition</t>
  </si>
  <si>
    <t>1310</t>
  </si>
  <si>
    <t>Tuition from Patrons for Regular Day School</t>
  </si>
  <si>
    <t>1320</t>
  </si>
  <si>
    <t xml:space="preserve">Tuition from Other LEAs for Regular Day School </t>
  </si>
  <si>
    <t>1330</t>
  </si>
  <si>
    <t>Tuition from Patrons for Adult/Continuing Education</t>
  </si>
  <si>
    <t>1340</t>
  </si>
  <si>
    <t>Tuition from Other LEAs for Adult/Continuing Education</t>
  </si>
  <si>
    <t>1350</t>
  </si>
  <si>
    <t xml:space="preserve">Tuition from Patrons for Summer School </t>
  </si>
  <si>
    <t>1360</t>
  </si>
  <si>
    <t xml:space="preserve">Tuition from Other LEAs for Summer School </t>
  </si>
  <si>
    <t>1400</t>
  </si>
  <si>
    <t>Transportation Fees</t>
  </si>
  <si>
    <t>1410</t>
  </si>
  <si>
    <t>Transportation Fees from Patrons for Regular Day School</t>
  </si>
  <si>
    <t>1415</t>
  </si>
  <si>
    <t>Transportation Fees from Other LEAs for Regular Day School</t>
  </si>
  <si>
    <t>1420</t>
  </si>
  <si>
    <t>Transportation Fees from Patrons for Summer School</t>
  </si>
  <si>
    <t>1425</t>
  </si>
  <si>
    <t>Transportation Fees from Other LEAs for Summer School</t>
  </si>
  <si>
    <t>1500</t>
  </si>
  <si>
    <t>Earnings on Investments</t>
  </si>
  <si>
    <t>1510</t>
  </si>
  <si>
    <t>Interest on Investments</t>
  </si>
  <si>
    <t>1520</t>
  </si>
  <si>
    <t>Dividends on Investments</t>
  </si>
  <si>
    <t>1530</t>
  </si>
  <si>
    <t>Gain or Loss on Sale of Investments</t>
  </si>
  <si>
    <t>1600</t>
  </si>
  <si>
    <t>Food Services</t>
  </si>
  <si>
    <t>1610</t>
  </si>
  <si>
    <t>Lunch Sales to Pupils</t>
  </si>
  <si>
    <t>1620</t>
  </si>
  <si>
    <t>Breakfast Sales to Pupils</t>
  </si>
  <si>
    <t>1630</t>
  </si>
  <si>
    <t>Special Sales to Pupils</t>
  </si>
  <si>
    <t>1640</t>
  </si>
  <si>
    <t>Lunch Sales to Adults</t>
  </si>
  <si>
    <t>1650</t>
  </si>
  <si>
    <t>Breakfast Sales to Adults</t>
  </si>
  <si>
    <t>1660</t>
  </si>
  <si>
    <t>Special Sales to Adults</t>
  </si>
  <si>
    <t>1700</t>
  </si>
  <si>
    <t>Pupil Activities</t>
  </si>
  <si>
    <t>1710</t>
  </si>
  <si>
    <t>Admissions</t>
  </si>
  <si>
    <t>1720</t>
  </si>
  <si>
    <t>Bookstore Sales</t>
  </si>
  <si>
    <t>1730</t>
  </si>
  <si>
    <t>Pupil Organization Membership Dues and Fees</t>
  </si>
  <si>
    <t>1740</t>
  </si>
  <si>
    <t>Student Fees</t>
  </si>
  <si>
    <t>1790</t>
  </si>
  <si>
    <t>Other Pupil Activity Income</t>
  </si>
  <si>
    <t>1900</t>
  </si>
  <si>
    <t>Other Revenue from Local Sources</t>
  </si>
  <si>
    <t>1910</t>
  </si>
  <si>
    <t>Rentals</t>
  </si>
  <si>
    <t>1920</t>
  </si>
  <si>
    <t>Contributions and Donations From Private Sources</t>
  </si>
  <si>
    <t>1930</t>
  </si>
  <si>
    <t>Special Needs Transportation - Medicaid</t>
  </si>
  <si>
    <t>1931</t>
  </si>
  <si>
    <t>Therapy Adjustment - Medicaid</t>
  </si>
  <si>
    <t>1950</t>
  </si>
  <si>
    <t>Refund of Prior Year's Expenditures</t>
  </si>
  <si>
    <t>1990</t>
  </si>
  <si>
    <t>Miscellaneous Local Revenue</t>
  </si>
  <si>
    <t>1992</t>
  </si>
  <si>
    <t>Canteen Operations</t>
  </si>
  <si>
    <t>1993</t>
  </si>
  <si>
    <t>Receipt of Insurance Proceeds</t>
  </si>
  <si>
    <t>1994</t>
  </si>
  <si>
    <t>Receipt of Legal Settlements</t>
  </si>
  <si>
    <t>1999</t>
  </si>
  <si>
    <t>Revenue from other Local Sources</t>
  </si>
  <si>
    <t>****</t>
  </si>
  <si>
    <t>Total Revenue from Local Sources:</t>
  </si>
  <si>
    <t>2000</t>
  </si>
  <si>
    <t>Intergovernmental Revenue</t>
  </si>
  <si>
    <t>2100</t>
  </si>
  <si>
    <t xml:space="preserve">Payments from Other Governmental Units </t>
  </si>
  <si>
    <t>2200</t>
  </si>
  <si>
    <t>Payments from Public Charter Schools</t>
  </si>
  <si>
    <t>2300</t>
  </si>
  <si>
    <t>Payments from Nonprofit Entities (for First Steps)</t>
  </si>
  <si>
    <t>2310</t>
  </si>
  <si>
    <t>Payments from Nonprofit Entities (other than for First Steps)</t>
  </si>
  <si>
    <t>Total Intergovernmental Revenue:</t>
  </si>
  <si>
    <t>3000</t>
  </si>
  <si>
    <t>Revenue from State Sources</t>
  </si>
  <si>
    <t>3100</t>
  </si>
  <si>
    <t>Restricted State Funding</t>
  </si>
  <si>
    <t>3105</t>
  </si>
  <si>
    <t>Technology Technical Assistance (Carryover Only)</t>
  </si>
  <si>
    <t>3110</t>
  </si>
  <si>
    <t>Occupational Education</t>
  </si>
  <si>
    <t>3113</t>
  </si>
  <si>
    <t>12-Month Agriculture Program</t>
  </si>
  <si>
    <t>3118</t>
  </si>
  <si>
    <t>EEDA Career Specialists</t>
  </si>
  <si>
    <t>3120</t>
  </si>
  <si>
    <t>General Education</t>
  </si>
  <si>
    <t>3127</t>
  </si>
  <si>
    <t>Student Health and Fitness - PE Teachers</t>
  </si>
  <si>
    <t>3130</t>
  </si>
  <si>
    <t>Special Programs</t>
  </si>
  <si>
    <t>3131</t>
  </si>
  <si>
    <t>Handicapped Transportation</t>
  </si>
  <si>
    <t>3132</t>
  </si>
  <si>
    <t>Home Schooling</t>
  </si>
  <si>
    <t>3134</t>
  </si>
  <si>
    <t>Child Early Reading Development and Education Program (CERDEP - Full Day 4K)</t>
  </si>
  <si>
    <t>3135</t>
  </si>
  <si>
    <t>Reading Coaches</t>
  </si>
  <si>
    <t>3136</t>
  </si>
  <si>
    <t>Student Health and Fitness - Nurses</t>
  </si>
  <si>
    <t>3140</t>
  </si>
  <si>
    <t>School Lunch</t>
  </si>
  <si>
    <t>3142</t>
  </si>
  <si>
    <t>School Lunch Program Aid</t>
  </si>
  <si>
    <t>3143</t>
  </si>
  <si>
    <t>GEER CERDEP Summer</t>
  </si>
  <si>
    <t>3155</t>
  </si>
  <si>
    <t>DSS SNAP &amp; E&amp;T Program</t>
  </si>
  <si>
    <t>3156</t>
  </si>
  <si>
    <t>Adult Education</t>
  </si>
  <si>
    <t>3160</t>
  </si>
  <si>
    <t>School Bus Driver Salary (Includes Hazardous Condition Transportation)</t>
  </si>
  <si>
    <t>3161</t>
  </si>
  <si>
    <t>EAA Bus Driver Salary and Fringe</t>
  </si>
  <si>
    <t>3162</t>
  </si>
  <si>
    <t>Transportation Workers' Compensation</t>
  </si>
  <si>
    <t>3165</t>
  </si>
  <si>
    <t>Economic Education Development Act-Transportation</t>
  </si>
  <si>
    <t>3171</t>
  </si>
  <si>
    <t>Consolidation&amp; Capital Improvement</t>
  </si>
  <si>
    <t>3180</t>
  </si>
  <si>
    <t>Fringe Benefits Employer Contributions  (No Carryover Provision)</t>
  </si>
  <si>
    <t>3181</t>
  </si>
  <si>
    <t>Retiree Insurance (No Carryover Provision)</t>
  </si>
  <si>
    <t>3183</t>
  </si>
  <si>
    <t>Teacher Recruiting and Retention (Carryover Only)</t>
  </si>
  <si>
    <t>3186</t>
  </si>
  <si>
    <t>State Aid to Classrooms - Teacher Salary Increase</t>
  </si>
  <si>
    <t>3187</t>
  </si>
  <si>
    <t>Teacher Supplies (No Carryover Provision)</t>
  </si>
  <si>
    <t>3189</t>
  </si>
  <si>
    <t>Teacher Step</t>
  </si>
  <si>
    <t>3190</t>
  </si>
  <si>
    <t>Miscellaneous Restricted State Grants</t>
  </si>
  <si>
    <t>3193</t>
  </si>
  <si>
    <t>Education License Plates</t>
  </si>
  <si>
    <t>3194</t>
  </si>
  <si>
    <t>Digital Instructional Materials</t>
  </si>
  <si>
    <t>3198</t>
  </si>
  <si>
    <t>Technology Professional Development</t>
  </si>
  <si>
    <t>3199</t>
  </si>
  <si>
    <t>Other Restricted State Grants</t>
  </si>
  <si>
    <t>3200</t>
  </si>
  <si>
    <t>Unrestricted State Grants</t>
  </si>
  <si>
    <t>3230</t>
  </si>
  <si>
    <t>Reimbursement for District Services</t>
  </si>
  <si>
    <t>3250</t>
  </si>
  <si>
    <t>Medicaid Match Reimbursement</t>
  </si>
  <si>
    <t>3290</t>
  </si>
  <si>
    <t>Miscellaneous Unrestricted State Grants</t>
  </si>
  <si>
    <t>3299</t>
  </si>
  <si>
    <t>Other Unrestricted State Grants</t>
  </si>
  <si>
    <t>3300</t>
  </si>
  <si>
    <t>State Aid to Classrooms - Education Finance Act (EFA)</t>
  </si>
  <si>
    <t>3310</t>
  </si>
  <si>
    <t>Full-time Programs</t>
  </si>
  <si>
    <t>3311</t>
  </si>
  <si>
    <t>Kindergarten</t>
  </si>
  <si>
    <t>3312</t>
  </si>
  <si>
    <t>Primary</t>
  </si>
  <si>
    <t>3313</t>
  </si>
  <si>
    <t>Elementary</t>
  </si>
  <si>
    <t>3314</t>
  </si>
  <si>
    <t>High School</t>
  </si>
  <si>
    <t>3315</t>
  </si>
  <si>
    <t>Trainable Mentally Handicapped</t>
  </si>
  <si>
    <t>3316</t>
  </si>
  <si>
    <t>Speech Handicapped (Part-time)</t>
  </si>
  <si>
    <t>3317</t>
  </si>
  <si>
    <t>Homebound</t>
  </si>
  <si>
    <t>3320</t>
  </si>
  <si>
    <t>Part-time Programs</t>
  </si>
  <si>
    <t>3321</t>
  </si>
  <si>
    <t>Emotionally Handicapped</t>
  </si>
  <si>
    <t>3322</t>
  </si>
  <si>
    <t>Educable Mentally Handicapped</t>
  </si>
  <si>
    <t>3323</t>
  </si>
  <si>
    <t>Learning Disabilities</t>
  </si>
  <si>
    <t>3324</t>
  </si>
  <si>
    <t>Hearing Handicapped</t>
  </si>
  <si>
    <t>3325</t>
  </si>
  <si>
    <t>Visually Handicapped</t>
  </si>
  <si>
    <t>3326</t>
  </si>
  <si>
    <t>Orthopedically Handicapped</t>
  </si>
  <si>
    <t>3327</t>
  </si>
  <si>
    <t>Pre-career and Career Technology</t>
  </si>
  <si>
    <t>3330</t>
  </si>
  <si>
    <t>Miscellaneous EFA Programs</t>
  </si>
  <si>
    <t>3331</t>
  </si>
  <si>
    <t>Autism</t>
  </si>
  <si>
    <t>3332</t>
  </si>
  <si>
    <t>High Achieving Students</t>
  </si>
  <si>
    <t>3334</t>
  </si>
  <si>
    <t>Limited English Proficiency</t>
  </si>
  <si>
    <t>3350</t>
  </si>
  <si>
    <t>Residential Treatment Facilities (RTF)</t>
  </si>
  <si>
    <t>3351</t>
  </si>
  <si>
    <t>Academic Assistance</t>
  </si>
  <si>
    <t>3352</t>
  </si>
  <si>
    <t>Pupils in Poverty</t>
  </si>
  <si>
    <t>3353</t>
  </si>
  <si>
    <t>Dual Credit Enrollment</t>
  </si>
  <si>
    <t>3375</t>
  </si>
  <si>
    <t>Education Finance Supplement (Carryover)</t>
  </si>
  <si>
    <t>3392</t>
  </si>
  <si>
    <t>NBC Excess EFA Formula</t>
  </si>
  <si>
    <t>3393</t>
  </si>
  <si>
    <t>Capital Improvement Plan - Additional</t>
  </si>
  <si>
    <t>3399</t>
  </si>
  <si>
    <t>Other EFA Programs</t>
  </si>
  <si>
    <t>3500</t>
  </si>
  <si>
    <t>Education Improvement Act</t>
  </si>
  <si>
    <t>3502</t>
  </si>
  <si>
    <t>ADEPT</t>
  </si>
  <si>
    <t>3507</t>
  </si>
  <si>
    <t>Aid To Districts - Technology</t>
  </si>
  <si>
    <t>3509</t>
  </si>
  <si>
    <t>Arts in Education</t>
  </si>
  <si>
    <t>3518</t>
  </si>
  <si>
    <t>Adoption List of Formative Assessment</t>
  </si>
  <si>
    <t>3519</t>
  </si>
  <si>
    <t>Grade 10 Assessments</t>
  </si>
  <si>
    <t>3526</t>
  </si>
  <si>
    <t>Refurbishment of Science Kits</t>
  </si>
  <si>
    <t>3528</t>
  </si>
  <si>
    <t>Industry Certifications/Credentials</t>
  </si>
  <si>
    <t>3529</t>
  </si>
  <si>
    <t>Career and Technical Education</t>
  </si>
  <si>
    <t>3532</t>
  </si>
  <si>
    <t>National Board Salary Supplement</t>
  </si>
  <si>
    <t>3533</t>
  </si>
  <si>
    <t>Teacher of the Year Awards  (No Carryover Provision)</t>
  </si>
  <si>
    <t>3535</t>
  </si>
  <si>
    <t>3538</t>
  </si>
  <si>
    <t>Students at Risk of School Failure</t>
  </si>
  <si>
    <t>3540</t>
  </si>
  <si>
    <t>Early Childhood Program (4K Programs Serving Four-Year-Old Children)</t>
  </si>
  <si>
    <t>3541</t>
  </si>
  <si>
    <t>Child Early Reading Development and Education Program (CERDEP) - Full Day 4K</t>
  </si>
  <si>
    <t>3550</t>
  </si>
  <si>
    <t>Teacher Salary Increase (No Carryover Provision)</t>
  </si>
  <si>
    <t>3555</t>
  </si>
  <si>
    <t>Teacher Salary Fringe</t>
  </si>
  <si>
    <t>3556</t>
  </si>
  <si>
    <t>3557</t>
  </si>
  <si>
    <t>Summer Reading Program</t>
  </si>
  <si>
    <t>3570</t>
  </si>
  <si>
    <t>Technical Assistance Special</t>
  </si>
  <si>
    <t>3571</t>
  </si>
  <si>
    <t>CSI and State Priority Schools</t>
  </si>
  <si>
    <t>3577</t>
  </si>
  <si>
    <t>3583</t>
  </si>
  <si>
    <t>Charter School Payments</t>
  </si>
  <si>
    <t>3584</t>
  </si>
  <si>
    <t>EFA Charter Transition Funds</t>
  </si>
  <si>
    <t>3585</t>
  </si>
  <si>
    <t>Aid to Districts - MOE</t>
  </si>
  <si>
    <t>3590</t>
  </si>
  <si>
    <t>School Building</t>
  </si>
  <si>
    <t>3593</t>
  </si>
  <si>
    <t>Capital Improvement Plan</t>
  </si>
  <si>
    <t>3594</t>
  </si>
  <si>
    <t>EEDA Supplemental Programs</t>
  </si>
  <si>
    <t>3595</t>
  </si>
  <si>
    <t>EEDA - Supplies and Materials</t>
  </si>
  <si>
    <t>3596</t>
  </si>
  <si>
    <t>3597</t>
  </si>
  <si>
    <t>Aid to Districts</t>
  </si>
  <si>
    <t>3599</t>
  </si>
  <si>
    <t>Other EIA</t>
  </si>
  <si>
    <t>3600</t>
  </si>
  <si>
    <t>Education Lottery Act Revenue</t>
  </si>
  <si>
    <t>3630</t>
  </si>
  <si>
    <t>K-12 Technology Initiative</t>
  </si>
  <si>
    <t>3660</t>
  </si>
  <si>
    <t>Mobile Device Access and Management</t>
  </si>
  <si>
    <t>3670</t>
  </si>
  <si>
    <t>School Safety-Facility and Infrastructure Safety Upgrades</t>
  </si>
  <si>
    <t>3699</t>
  </si>
  <si>
    <t>Other State Lottery Programs</t>
  </si>
  <si>
    <t>3800</t>
  </si>
  <si>
    <t>State Revenue in Lieu of Taxes</t>
  </si>
  <si>
    <t>3810</t>
  </si>
  <si>
    <t>Reimbursement for Local Residential Property Tax Relief</t>
  </si>
  <si>
    <t>3820</t>
  </si>
  <si>
    <t>Homestead Exemption (Tier 2)</t>
  </si>
  <si>
    <t>3825</t>
  </si>
  <si>
    <t>Reimbursement for Property Tax Relief (Tier 3)</t>
  </si>
  <si>
    <t>3827</t>
  </si>
  <si>
    <t>$2.5 Million Tax Bonus</t>
  </si>
  <si>
    <t>3830</t>
  </si>
  <si>
    <t>Merchant's Inventory Tax</t>
  </si>
  <si>
    <t>3840</t>
  </si>
  <si>
    <t>Manufacturer's Depreciation Reimbursement</t>
  </si>
  <si>
    <t>3890</t>
  </si>
  <si>
    <t>Other State Property Tax Revenues (Includes Motor Carrier Vehicle Tax)</t>
  </si>
  <si>
    <t>3900</t>
  </si>
  <si>
    <t>Other State Revenue</t>
  </si>
  <si>
    <t>3992</t>
  </si>
  <si>
    <t>State Forest Commission Revenues</t>
  </si>
  <si>
    <t>3993</t>
  </si>
  <si>
    <t>PEBA on-Behalf</t>
  </si>
  <si>
    <t>3994</t>
  </si>
  <si>
    <t>PEBA Nonemployer Contributions</t>
  </si>
  <si>
    <t>3995</t>
  </si>
  <si>
    <t>CRF Per Pupil Funding</t>
  </si>
  <si>
    <t>3999</t>
  </si>
  <si>
    <t>Revenue from Other State Sources</t>
  </si>
  <si>
    <t>Total Revenue from State Sources:</t>
  </si>
  <si>
    <t>4000</t>
  </si>
  <si>
    <t>Revenue from Federal Sources</t>
  </si>
  <si>
    <t>4100</t>
  </si>
  <si>
    <t>Federally Impacted Areas</t>
  </si>
  <si>
    <t>4110</t>
  </si>
  <si>
    <t>Maintenance and Operations, P.L. 81-874</t>
  </si>
  <si>
    <t>4120</t>
  </si>
  <si>
    <t>Construction, P.L. 81-815</t>
  </si>
  <si>
    <t>4130</t>
  </si>
  <si>
    <t>Low Rent Housing, P.L. 81-874</t>
  </si>
  <si>
    <t>4140</t>
  </si>
  <si>
    <t>Handicapped, P.L. 81-874</t>
  </si>
  <si>
    <t>4160</t>
  </si>
  <si>
    <t>Maintenance and Operations Disaster Aid, P.L. 81-874</t>
  </si>
  <si>
    <t>4200</t>
  </si>
  <si>
    <t>4210</t>
  </si>
  <si>
    <t>Perkins Aid, Title I -  Career and Technology Education - Basic Grants to States</t>
  </si>
  <si>
    <t>4300</t>
  </si>
  <si>
    <t>Elementary and Secondary Education Act of 1965 (ESEA)</t>
  </si>
  <si>
    <t>4310</t>
  </si>
  <si>
    <t>Title I, Basic State Grant Programs (Carryover Provision)</t>
  </si>
  <si>
    <t>4312</t>
  </si>
  <si>
    <t>Rural and Low-Income School Program, Title V</t>
  </si>
  <si>
    <t>4314</t>
  </si>
  <si>
    <t>School Improvement Grants</t>
  </si>
  <si>
    <t>4320</t>
  </si>
  <si>
    <t>Charter School (Planning and Implementation) Grant</t>
  </si>
  <si>
    <t>4341</t>
  </si>
  <si>
    <t>Language Instruction for Limited English Proficient and Immigrant Students, Title III</t>
  </si>
  <si>
    <t>4342</t>
  </si>
  <si>
    <t>Title II Teacher Advancement Program (TAP)</t>
  </si>
  <si>
    <t>4343</t>
  </si>
  <si>
    <t>McKinney-Vento Education for Homeless Children and Youth Program</t>
  </si>
  <si>
    <t>4351</t>
  </si>
  <si>
    <t>Supporting Effective Instruction</t>
  </si>
  <si>
    <t>4390</t>
  </si>
  <si>
    <t>Other ESEA Revenue</t>
  </si>
  <si>
    <t>4400</t>
  </si>
  <si>
    <t>4410</t>
  </si>
  <si>
    <t>Basic Adult Education</t>
  </si>
  <si>
    <t>4430</t>
  </si>
  <si>
    <t>State Literacy Resource</t>
  </si>
  <si>
    <t>4490</t>
  </si>
  <si>
    <t>Other Adult Education</t>
  </si>
  <si>
    <t>4500</t>
  </si>
  <si>
    <t>Programs for Children with Disabilities</t>
  </si>
  <si>
    <t>4510</t>
  </si>
  <si>
    <t>Individuals with Disabilities Education Act (IDEA)</t>
  </si>
  <si>
    <t>4520</t>
  </si>
  <si>
    <t>Preschool Grants for Children with Disabilities (IDEA)</t>
  </si>
  <si>
    <t>4560</t>
  </si>
  <si>
    <t>IDEA-SSIP</t>
  </si>
  <si>
    <t>4800</t>
  </si>
  <si>
    <t>USDA Reimbursement</t>
  </si>
  <si>
    <t>4810</t>
  </si>
  <si>
    <t>School Lunch and After School Snacks Program, and Special Milk Program (Carryover Provision)</t>
  </si>
  <si>
    <t>4830</t>
  </si>
  <si>
    <t>School Breakfast Program (Carryover Provision)</t>
  </si>
  <si>
    <t>4850</t>
  </si>
  <si>
    <t>Cash in Lieu of Commodities (Food Distribution Program) (Carryover Provision)</t>
  </si>
  <si>
    <t>4860</t>
  </si>
  <si>
    <t>Fresh Fruit &amp; Vegetable Program (FFVP) (Carryover Provision)</t>
  </si>
  <si>
    <t>4870</t>
  </si>
  <si>
    <t>School Food Service (Equipment)</t>
  </si>
  <si>
    <t>4880</t>
  </si>
  <si>
    <t>4900</t>
  </si>
  <si>
    <t>Other Federal Sources</t>
  </si>
  <si>
    <t>4924</t>
  </si>
  <si>
    <t>Nita M. Lowey 21st Century Community Learning Centers, Program (Title IV, 21st Century Schools)</t>
  </si>
  <si>
    <t>4935</t>
  </si>
  <si>
    <t>South Carolina's AWARE (Advancing Wellness and Resiliency in Education)</t>
  </si>
  <si>
    <t>4936</t>
  </si>
  <si>
    <t>South Carolina Early Learning Extension</t>
  </si>
  <si>
    <t>4974</t>
  </si>
  <si>
    <t>ESSER III</t>
  </si>
  <si>
    <t>4975</t>
  </si>
  <si>
    <t>Coronavirus Aid, Relief, and Economic Security Act (CARES Act)</t>
  </si>
  <si>
    <t>4977</t>
  </si>
  <si>
    <t>ESSER II</t>
  </si>
  <si>
    <t>4990</t>
  </si>
  <si>
    <t>Other Federal Revenue</t>
  </si>
  <si>
    <t>4991</t>
  </si>
  <si>
    <t>USDA Commodities (Food Distribution Program) (Carryover Provision)</t>
  </si>
  <si>
    <t>4992</t>
  </si>
  <si>
    <t>U.S. Forest Commission Revenue</t>
  </si>
  <si>
    <t>4997</t>
  </si>
  <si>
    <t>Title IV - SSAE</t>
  </si>
  <si>
    <t>4999</t>
  </si>
  <si>
    <t>Revenue from Other Federal Sources</t>
  </si>
  <si>
    <t>Total Revenue from Federal Sources:</t>
  </si>
  <si>
    <t>5000</t>
  </si>
  <si>
    <t>Other Sources</t>
  </si>
  <si>
    <t>5100</t>
  </si>
  <si>
    <t>Sale of Bonds</t>
  </si>
  <si>
    <t>5110</t>
  </si>
  <si>
    <t>Premium on Bonds Sold</t>
  </si>
  <si>
    <t>5120</t>
  </si>
  <si>
    <t>Proceeds of General Obligation Bonds</t>
  </si>
  <si>
    <t>5121</t>
  </si>
  <si>
    <t>Installment Purchase Revenue Proceeds</t>
  </si>
  <si>
    <t>5130</t>
  </si>
  <si>
    <t>Proceeds of Refunding Debt</t>
  </si>
  <si>
    <t>5200</t>
  </si>
  <si>
    <t>Interfund Transfers</t>
  </si>
  <si>
    <t>5210</t>
  </si>
  <si>
    <t>Transfer from General Fund (Exclude Indirect Costs)</t>
  </si>
  <si>
    <t>5220</t>
  </si>
  <si>
    <t>Transfer from Special Revenue Fund (Exclude Indirect Costs)</t>
  </si>
  <si>
    <t>5230</t>
  </si>
  <si>
    <t xml:space="preserve">Transfer from Special Revenue EIA Fund </t>
  </si>
  <si>
    <t>5240</t>
  </si>
  <si>
    <t>Transfer from Debt Service Fund</t>
  </si>
  <si>
    <t>5250</t>
  </si>
  <si>
    <t>Transfer from Capital Projects Fund</t>
  </si>
  <si>
    <t>5260</t>
  </si>
  <si>
    <t>Transfer from Food Service Fund (Exclude Indirect Costs)</t>
  </si>
  <si>
    <t>5270</t>
  </si>
  <si>
    <t>Transfer from Pupil Activity Fund</t>
  </si>
  <si>
    <t>5280</t>
  </si>
  <si>
    <t>Transfer from Other Funds Indirect Cost</t>
  </si>
  <si>
    <t>5290</t>
  </si>
  <si>
    <t>Transfer from Internal Service Fund</t>
  </si>
  <si>
    <t>5300</t>
  </si>
  <si>
    <t>Sale of Fixed Assets</t>
  </si>
  <si>
    <t>5400</t>
  </si>
  <si>
    <t>Proceeds from Long-Term Notes</t>
  </si>
  <si>
    <t>5500</t>
  </si>
  <si>
    <t>Capital Lease</t>
  </si>
  <si>
    <t>5600</t>
  </si>
  <si>
    <t>Lease Purchase</t>
  </si>
  <si>
    <t>5900</t>
  </si>
  <si>
    <t>Miscellaneous Sources</t>
  </si>
  <si>
    <t>5999</t>
  </si>
  <si>
    <t>Other Financing Sources</t>
  </si>
  <si>
    <t>Total Other Sources:</t>
  </si>
  <si>
    <t>TOTAL REVENUE ALL SOURCES:</t>
  </si>
  <si>
    <t>TOTAL REVENUE LESS OTHER SOURCES:</t>
  </si>
  <si>
    <t>Statement Of Expenditures</t>
  </si>
  <si>
    <t>Florence 01</t>
  </si>
  <si>
    <t>York 03</t>
  </si>
  <si>
    <t>100</t>
  </si>
  <si>
    <t>Instruction</t>
  </si>
  <si>
    <t>110</t>
  </si>
  <si>
    <t>General Instruction</t>
  </si>
  <si>
    <t>111</t>
  </si>
  <si>
    <t>Kindergarten Programs</t>
  </si>
  <si>
    <t>112</t>
  </si>
  <si>
    <t>Primary Programs</t>
  </si>
  <si>
    <t>Instructional Support</t>
  </si>
  <si>
    <t>113</t>
  </si>
  <si>
    <t>Elementary Programs</t>
  </si>
  <si>
    <t>Operations</t>
  </si>
  <si>
    <t>114</t>
  </si>
  <si>
    <t>High School Programs</t>
  </si>
  <si>
    <t>Leadership</t>
  </si>
  <si>
    <t>115</t>
  </si>
  <si>
    <t>Career and Technology Education Programs</t>
  </si>
  <si>
    <t>116</t>
  </si>
  <si>
    <t>Career and Technology Education (Vocational) Programs - Middle School</t>
  </si>
  <si>
    <t>117</t>
  </si>
  <si>
    <t>Driver Education Program (Optional)</t>
  </si>
  <si>
    <t>118</t>
  </si>
  <si>
    <t>Montessori Programs</t>
  </si>
  <si>
    <t>120</t>
  </si>
  <si>
    <t>Exceptional Programs</t>
  </si>
  <si>
    <t>121</t>
  </si>
  <si>
    <t>122</t>
  </si>
  <si>
    <t>123</t>
  </si>
  <si>
    <t>124</t>
  </si>
  <si>
    <t>125</t>
  </si>
  <si>
    <t>126</t>
  </si>
  <si>
    <t>Speech Handicapped</t>
  </si>
  <si>
    <t>127</t>
  </si>
  <si>
    <t>128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</si>
  <si>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</si>
  <si>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</si>
  <si>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</si>
  <si>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</si>
  <si>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</si>
  <si>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</si>
  <si>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</si>
  <si>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</si>
  <si>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</si>
  <si>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</si>
  <si>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</si>
  <si>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</si>
  <si>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</si>
  <si>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</si>
  <si>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</si>
  <si>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</si>
  <si>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</si>
  <si>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</si>
  <si>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</si>
  <si>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</si>
  <si>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</si>
  <si>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</si>
  <si>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</si>
  <si>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</si>
  <si>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</si>
  <si>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</si>
  <si>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</si>
  <si>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</si>
  <si>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</si>
  <si>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</si>
  <si>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</si>
  <si>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</si>
  <si>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</si>
  <si>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</si>
  <si>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</si>
  <si>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</si>
  <si>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</si>
  <si>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</si>
  <si>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</si>
  <si>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</si>
  <si>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</si>
  <si>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</si>
  <si>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</si>
  <si>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</si>
  <si>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</si>
  <si>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162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</si>
  <si>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</si>
  <si>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</si>
  <si>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</si>
  <si>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</si>
  <si>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</si>
  <si>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</si>
  <si>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</si>
  <si>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</si>
  <si>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</si>
  <si>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</si>
  <si>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</si>
  <si>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</si>
  <si>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</si>
  <si>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</si>
  <si>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</si>
  <si>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</si>
  <si>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</si>
  <si>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</si>
  <si>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</si>
  <si>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</si>
  <si>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</si>
  <si>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</si>
  <si>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</si>
  <si>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</si>
  <si>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</si>
  <si>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</si>
  <si>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</si>
  <si>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</si>
  <si>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</si>
  <si>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</si>
  <si>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</si>
  <si>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</si>
  <si>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</si>
  <si>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</si>
  <si>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</si>
  <si>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</si>
  <si>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</si>
  <si>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</si>
  <si>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</si>
  <si>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</si>
  <si>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</si>
  <si>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</si>
  <si>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</si>
  <si>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</si>
  <si>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</si>
  <si>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</si>
  <si>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</si>
  <si>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</si>
  <si>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</si>
  <si>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</si>
  <si>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</si>
  <si>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</si>
  <si>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</si>
  <si>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</si>
  <si>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</si>
  <si>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</si>
  <si>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</si>
  <si>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</si>
  <si>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</si>
  <si>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</si>
  <si>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</si>
  <si>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</si>
  <si>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</si>
  <si>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</si>
  <si>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</si>
  <si>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</si>
  <si>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</si>
  <si>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</si>
  <si>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</si>
  <si>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</si>
  <si>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</si>
  <si>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</si>
  <si>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</si>
  <si>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</si>
  <si>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</si>
  <si>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</si>
  <si>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</si>
  <si>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</si>
  <si>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</si>
  <si>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</si>
  <si>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</si>
  <si>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</si>
  <si>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</si>
  <si>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</si>
  <si>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</si>
  <si>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</si>
  <si>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</si>
  <si>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</si>
  <si>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</si>
  <si>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</si>
  <si>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</si>
  <si>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</si>
  <si>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</si>
  <si>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</si>
  <si>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</si>
  <si>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</si>
  <si>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</si>
  <si>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</si>
  <si>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</si>
  <si>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</si>
  <si>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</si>
  <si>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</si>
  <si>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</si>
  <si>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</si>
  <si>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</si>
  <si>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</si>
  <si>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</si>
  <si>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</si>
  <si>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</si>
  <si>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</si>
  <si>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</si>
  <si>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</si>
  <si>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</si>
  <si>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</si>
  <si>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</si>
  <si>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</si>
  <si>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</si>
  <si>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</si>
  <si>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</si>
  <si>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</si>
  <si>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</si>
  <si>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</si>
  <si>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</si>
  <si>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</si>
  <si>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</si>
  <si>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</si>
  <si>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</si>
  <si>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</si>
  <si>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</si>
  <si>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</si>
  <si>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</si>
  <si>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</si>
  <si>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</si>
  <si>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</si>
  <si>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</si>
  <si>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</si>
  <si>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</si>
  <si>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</si>
  <si>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</si>
  <si>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</si>
  <si>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</si>
  <si>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</si>
  <si>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</si>
  <si>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</si>
  <si>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</si>
  <si>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</si>
  <si>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</si>
  <si>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</si>
  <si>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</si>
  <si>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</si>
  <si>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</si>
  <si>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</si>
  <si>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</si>
  <si>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</si>
  <si>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</si>
  <si>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</si>
  <si>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</si>
  <si>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</si>
  <si>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</si>
  <si>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</si>
  <si>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</si>
  <si>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</si>
  <si>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</si>
  <si>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</si>
  <si>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</si>
  <si>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</si>
  <si>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</si>
  <si>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</si>
  <si>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</si>
  <si>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</si>
  <si>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</si>
  <si>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</si>
  <si>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</si>
  <si>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</si>
  <si>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</si>
  <si>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</si>
  <si>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</si>
  <si>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</si>
  <si>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</si>
  <si>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</si>
  <si>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</si>
  <si>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</si>
  <si>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</si>
  <si>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</si>
  <si>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</si>
  <si>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</si>
  <si>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SC DEPARTMENT OF EDUCATION</t>
  </si>
  <si>
    <t>Unassigned Fund Balance</t>
  </si>
  <si>
    <t>Combined Balance Sheet - General Fund</t>
  </si>
  <si>
    <t>District</t>
  </si>
  <si>
    <t>Minimum Fund Balance Required Per Fiscal Practices Legislation</t>
  </si>
  <si>
    <t>FY 20 General Fund Unrestricted</t>
  </si>
  <si>
    <t>FY 20 General Fund Unassigned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</si>
  <si>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</si>
  <si>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</si>
  <si>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</si>
  <si>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</si>
  <si>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</si>
  <si>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</si>
  <si>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</si>
  <si>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</si>
  <si>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</si>
  <si>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</si>
  <si>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</si>
  <si>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</si>
  <si>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</si>
  <si>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</si>
  <si>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</si>
  <si>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</si>
  <si>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</si>
  <si>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</si>
  <si>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</si>
  <si>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</si>
  <si>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</si>
  <si>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</si>
  <si>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</si>
  <si>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</si>
  <si>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</si>
  <si>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</si>
  <si>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</si>
  <si>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</si>
  <si>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</si>
  <si>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</si>
  <si>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</si>
  <si>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</si>
  <si>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</si>
  <si>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</si>
  <si>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</si>
  <si>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</si>
  <si>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</si>
  <si>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</si>
  <si>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</si>
  <si>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</si>
  <si>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</si>
  <si>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</si>
  <si>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</si>
  <si>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</si>
  <si>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Marion</t>
  </si>
  <si>
    <t>Marlboro</t>
  </si>
  <si>
    <t>McCormick</t>
  </si>
  <si>
    <t>Newberry</t>
  </si>
  <si>
    <t>Oconee</t>
  </si>
  <si>
    <t>Orangeburg County</t>
  </si>
  <si>
    <t>Pickens</t>
  </si>
  <si>
    <t>Richland 1</t>
  </si>
  <si>
    <t>Richland 2</t>
  </si>
  <si>
    <t>Saluda</t>
  </si>
  <si>
    <t>SC Public Charter School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</si>
  <si>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</si>
  <si>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</si>
  <si>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</si>
  <si>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</si>
  <si>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</si>
  <si>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</si>
  <si>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</si>
  <si>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</si>
  <si>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</si>
  <si>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</si>
  <si>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</si>
  <si>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</si>
  <si>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4</t>
  </si>
  <si>
    <t>Erskine Public Charter District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</si>
  <si>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</si>
  <si>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</si>
  <si>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</si>
  <si>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</si>
  <si>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</si>
  <si>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</si>
  <si>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</si>
  <si>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</si>
  <si>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</si>
  <si>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</si>
  <si>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</si>
  <si>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</si>
  <si>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 45</t>
  </si>
  <si>
    <t>BARNWELL 48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</si>
  <si>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</si>
  <si>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</si>
  <si>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</si>
  <si>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</si>
  <si>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</si>
  <si>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</si>
  <si>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</si>
  <si>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</si>
  <si>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</si>
  <si>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</si>
  <si>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</si>
  <si>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</si>
  <si>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</si>
  <si>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</si>
  <si>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</si>
  <si>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</si>
  <si>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</si>
  <si>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</si>
  <si>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</si>
  <si>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</si>
  <si>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</si>
  <si>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</si>
  <si>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</si>
  <si>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</si>
  <si>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</si>
  <si>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</si>
  <si>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</si>
  <si>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</si>
  <si>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</si>
  <si>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</si>
  <si>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</si>
  <si>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</si>
  <si>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</si>
  <si>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</si>
  <si>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</si>
  <si>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</si>
  <si>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</si>
  <si>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</si>
  <si>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</si>
  <si>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</si>
  <si>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</si>
  <si>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</si>
  <si>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</si>
  <si>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</si>
  <si>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</si>
  <si>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</si>
  <si>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</si>
  <si>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</si>
  <si>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</si>
  <si>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</si>
  <si>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</si>
  <si>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</si>
  <si>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</si>
  <si>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</si>
  <si>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</si>
  <si>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</si>
  <si>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</si>
  <si>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</si>
  <si>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</si>
  <si>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</si>
  <si>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</si>
  <si>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</si>
  <si>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STATE AVERAGE</t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</si>
  <si>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</si>
  <si>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</si>
  <si>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r>
      <t>Source:</t>
    </r>
    <r>
      <rPr>
        <sz val="10"/>
        <rFont val="Arial"/>
        <family val="2"/>
      </rPr>
      <t>LEA Audit Reports (Due 01/31/23)</t>
    </r>
  </si>
  <si>
    <t>Clarendon 4</t>
  </si>
  <si>
    <t>Hampton 3</t>
  </si>
  <si>
    <t>TOTAL</t>
  </si>
  <si>
    <t>Other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</si>
  <si>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</si>
  <si>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</si>
  <si>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</si>
  <si>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</si>
  <si>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</si>
  <si>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</si>
  <si>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</si>
  <si>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</si>
  <si>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</si>
  <si>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</si>
  <si>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</si>
  <si>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</si>
  <si>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</si>
  <si>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</si>
  <si>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</si>
  <si>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</si>
  <si>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</si>
  <si>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</si>
  <si>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</si>
  <si>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</si>
  <si>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</si>
  <si>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</si>
  <si>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</si>
  <si>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</si>
  <si>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</si>
  <si>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</si>
  <si>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</si>
  <si>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</si>
  <si>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</si>
  <si>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</si>
  <si>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</si>
  <si>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</si>
  <si>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</si>
  <si>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</si>
  <si>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</si>
  <si>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</si>
  <si>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</si>
  <si>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</si>
  <si>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</si>
  <si>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</si>
  <si>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</si>
  <si>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</si>
  <si>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</si>
  <si>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</si>
  <si>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</si>
  <si>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</si>
  <si>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</si>
  <si>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</si>
  <si>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</si>
  <si>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</si>
  <si>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</si>
  <si>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</si>
  <si>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</si>
  <si>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</si>
  <si>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</si>
  <si>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</si>
  <si>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</si>
  <si>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</si>
  <si>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</si>
  <si>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</si>
  <si>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</si>
  <si>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</si>
  <si>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</si>
  <si>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</si>
  <si>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</si>
  <si>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</si>
  <si>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</si>
  <si>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</si>
  <si>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</si>
  <si>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</si>
  <si>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</si>
  <si>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</si>
  <si>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</si>
  <si>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</si>
  <si>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</si>
  <si>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</si>
  <si>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</si>
  <si>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</si>
  <si>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</si>
  <si>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</si>
  <si>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</si>
  <si>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</si>
  <si>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</si>
  <si>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</si>
  <si>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</si>
  <si>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</si>
  <si>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</si>
  <si>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</si>
  <si>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</si>
  <si>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</si>
  <si>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</si>
  <si>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</si>
  <si>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</si>
  <si>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</si>
  <si>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</si>
  <si>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</si>
  <si>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</si>
  <si>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</si>
  <si>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</si>
  <si>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</si>
  <si>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</si>
  <si>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</si>
  <si>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</si>
  <si>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</si>
  <si>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</si>
  <si>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</si>
  <si>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</si>
  <si>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</si>
  <si>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</si>
  <si>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</si>
  <si>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</si>
  <si>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</si>
  <si>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</si>
  <si>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</si>
  <si>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</si>
  <si>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</si>
  <si>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</si>
  <si>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</si>
  <si>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</si>
  <si>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</si>
  <si>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</si>
  <si>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</si>
  <si>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</si>
  <si>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</si>
  <si>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t>430  Indirect Cost Transfers</t>
  </si>
  <si>
    <t>500  Debt Services</t>
  </si>
  <si>
    <t xml:space="preserve"> </t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</si>
  <si>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</si>
  <si>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</si>
  <si>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</si>
  <si>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</si>
  <si>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</si>
  <si>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</si>
  <si>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</si>
  <si>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</si>
  <si>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</si>
  <si>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</si>
  <si>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</si>
  <si>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</si>
  <si>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</si>
  <si>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</si>
  <si>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</si>
  <si>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</si>
  <si>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</si>
  <si>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</si>
  <si>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</si>
  <si>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</si>
  <si>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</si>
  <si>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</si>
  <si>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</si>
  <si>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</si>
  <si>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</si>
  <si>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</si>
  <si>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</si>
  <si>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</si>
  <si>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</si>
  <si>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</si>
  <si>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</si>
  <si>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</si>
  <si>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</si>
  <si>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</si>
  <si>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</si>
  <si>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</si>
  <si>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</si>
  <si>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</si>
  <si>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</si>
  <si>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</si>
  <si>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</si>
  <si>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</si>
  <si>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</si>
  <si>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</si>
  <si>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</si>
  <si>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</si>
  <si>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</si>
  <si>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</si>
  <si>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</si>
  <si>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</si>
  <si>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</si>
  <si>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</si>
  <si>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</si>
  <si>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</si>
  <si>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</si>
  <si>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r>
      <t xml:space="preserve">Total Intergovernmental Revenue </t>
    </r>
    <r>
      <rPr>
        <i/>
        <sz val="10"/>
        <rFont val="Arial"/>
        <family val="2"/>
      </rPr>
      <t>(excluded)</t>
    </r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</si>
  <si>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</si>
  <si>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</si>
  <si>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</si>
  <si>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</si>
  <si>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</si>
  <si>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</si>
  <si>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</si>
  <si>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</si>
  <si>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</si>
  <si>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</si>
  <si>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</si>
  <si>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</si>
  <si>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</si>
  <si>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</si>
  <si>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</si>
  <si>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</si>
  <si>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</si>
  <si>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</si>
  <si>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</si>
  <si>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</si>
  <si>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</si>
  <si>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</si>
  <si>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</si>
  <si>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</si>
  <si>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</si>
  <si>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</si>
  <si>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</si>
  <si>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</si>
  <si>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</si>
  <si>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</si>
  <si>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</si>
  <si>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</si>
  <si>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</si>
  <si>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</si>
  <si>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</si>
  <si>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</si>
  <si>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</si>
  <si>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</si>
  <si>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</si>
  <si>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3300  State Aid to Classrooms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</si>
  <si>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</si>
  <si>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</si>
  <si>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</si>
  <si>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</si>
  <si>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</si>
  <si>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</si>
  <si>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</si>
  <si>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</si>
  <si>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</si>
  <si>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</si>
  <si>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</si>
  <si>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</si>
  <si>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</si>
  <si>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</si>
  <si>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</si>
  <si>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</si>
  <si>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</si>
  <si>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</si>
  <si>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</si>
  <si>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</si>
  <si>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</si>
  <si>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</si>
  <si>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</si>
  <si>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</si>
  <si>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</si>
  <si>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</si>
  <si>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</si>
  <si>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</si>
  <si>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</si>
  <si>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</si>
  <si>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</si>
  <si>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</si>
  <si>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</si>
  <si>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</si>
  <si>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</si>
  <si>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</si>
  <si>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</si>
  <si>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</si>
  <si>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</si>
  <si>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</si>
  <si>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3536  Student Health and Fitness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</si>
  <si>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</si>
  <si>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</si>
  <si>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</si>
  <si>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</si>
  <si>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</si>
  <si>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</si>
  <si>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</si>
  <si>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</si>
  <si>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</si>
  <si>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</si>
  <si>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</si>
  <si>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</si>
  <si>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</si>
  <si>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</si>
  <si>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</si>
  <si>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</si>
  <si>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</si>
  <si>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</si>
  <si>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</si>
  <si>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</si>
  <si>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</si>
  <si>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</si>
  <si>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</si>
  <si>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</si>
  <si>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</si>
  <si>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</si>
  <si>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</si>
  <si>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</si>
  <si>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</si>
  <si>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</si>
  <si>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</si>
  <si>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</si>
  <si>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</si>
  <si>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</si>
  <si>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</si>
  <si>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</si>
  <si>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</si>
  <si>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</si>
  <si>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</si>
  <si>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</si>
  <si>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</si>
  <si>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</si>
  <si>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</si>
  <si>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</si>
  <si>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</si>
  <si>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</si>
  <si>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</si>
  <si>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</si>
  <si>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</si>
  <si>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</si>
  <si>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</si>
  <si>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</si>
  <si>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</si>
  <si>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</si>
  <si>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</si>
  <si>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</si>
  <si>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</si>
  <si>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</si>
  <si>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</si>
  <si>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</si>
  <si>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</si>
  <si>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</si>
  <si>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</si>
  <si>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</si>
  <si>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</si>
  <si>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4820</t>
  </si>
  <si>
    <t>Supply Chain Assistance Funding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</si>
  <si>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</si>
  <si>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</si>
  <si>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</si>
  <si>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</si>
  <si>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</si>
  <si>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4890  Healthy Meals - USDA</t>
  </si>
  <si>
    <t>4899  Miscellaneous Food Service</t>
  </si>
  <si>
    <t>4900  Other Federal Sources</t>
  </si>
  <si>
    <t xml:space="preserve">4924  21st Century Community Learning Centers Program </t>
  </si>
  <si>
    <t>4931  ARP IDEA</t>
  </si>
  <si>
    <t>4933  ARP IDEA Preschool</t>
  </si>
  <si>
    <t>4935  South Carolina's AWARE</t>
  </si>
  <si>
    <t>4936  South Carolina Early Learning Extension</t>
  </si>
  <si>
    <t>4937</t>
  </si>
  <si>
    <t>ARP Homeless Children &amp; Youth</t>
  </si>
  <si>
    <t>4971  CARES Additional Cost per Meal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</si>
  <si>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</si>
  <si>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</si>
  <si>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</si>
  <si>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</si>
  <si>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</si>
  <si>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</si>
  <si>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</si>
  <si>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</si>
  <si>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 xml:space="preserve">Note: Intergovernmental revenue, bonds, leases, long-term notes, and transfers are excluded from the total above. </t>
  </si>
  <si>
    <t>3536</t>
  </si>
  <si>
    <t>Student Health &amp; Fitness</t>
  </si>
  <si>
    <t>4890</t>
  </si>
  <si>
    <t>Healthy Meals - USDA</t>
  </si>
  <si>
    <t>4899</t>
  </si>
  <si>
    <t>Miscellaneous Food Service</t>
  </si>
  <si>
    <t>4931</t>
  </si>
  <si>
    <t>ARP IDEA</t>
  </si>
  <si>
    <t>4933</t>
  </si>
  <si>
    <t>ARP IDEA Preschool</t>
  </si>
  <si>
    <t>4971</t>
  </si>
  <si>
    <t>CARES Additional cost per meal</t>
  </si>
  <si>
    <t>DASHBOARD REVENUE DATA FY 2022-23 (as of 9.10.24)</t>
  </si>
  <si>
    <t>FOR FISCAL YEAR ENDED JUNE 30, 2023</t>
  </si>
  <si>
    <t>3103</t>
  </si>
  <si>
    <t>State Aid to Classrooms</t>
  </si>
  <si>
    <t>3503</t>
  </si>
  <si>
    <t>SFSP Sponsor Admin Reimbursement</t>
  </si>
  <si>
    <t>4979</t>
  </si>
  <si>
    <t>Delivering Quality Instruction Virtually</t>
  </si>
  <si>
    <t>Dashboard - FY 2022-23</t>
  </si>
  <si>
    <r>
      <t xml:space="preserve">FOR FISCAL YEAR ENDED JUNE 30, 2023 </t>
    </r>
    <r>
      <rPr>
        <sz val="11"/>
        <color rgb="FFFF0000"/>
        <rFont val="Calibri"/>
        <family val="2"/>
      </rPr>
      <t>(9.10.24)</t>
    </r>
  </si>
  <si>
    <t>FY 23 General Fund Unrestricted</t>
  </si>
  <si>
    <t>FY 23 General Fund Unassigned</t>
  </si>
  <si>
    <t>Bamberg 3</t>
  </si>
  <si>
    <t>Clarendon 6</t>
  </si>
  <si>
    <t xml:space="preserve">                                    2022-23  SOUTH CAROLINA AVERAGE TEACHER SALARY BY SCHOOL DISTRICT      </t>
  </si>
  <si>
    <t>HAMPTON</t>
  </si>
  <si>
    <t>ORANGEBURG</t>
  </si>
  <si>
    <t>LIMESTONE CHARTER ASSOCIATION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</si>
  <si>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to teach or to supervise teaching.  </t>
    </r>
  </si>
  <si>
    <t xml:space="preserve">         This report includes teachers with a full-time equivalent with a minimum of .95 and employed 190 days or more.  Please know that some school districts are not fully represented with the </t>
  </si>
  <si>
    <t xml:space="preserve">         total number of teachers who worked 190 days, due to an administrative error.  Therefore, the official average teacher salaries for the 2022-23 school year for the state of South Carolina</t>
  </si>
  <si>
    <t xml:space="preserve">         were computed with the data for teachers employed 180 days or more, which were released in another report.</t>
  </si>
  <si>
    <t>Source:  South Carolina Department of Education, "SC Educator System," June 2023.</t>
  </si>
  <si>
    <t>Completed by the South Carolina Department of Education, Office of Research and Data Analysis, October 11, 2024.</t>
  </si>
  <si>
    <t>Yvonne S. Gladman, Education Associate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</si>
  <si>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</si>
  <si>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</si>
  <si>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</si>
  <si>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</si>
  <si>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</si>
  <si>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</si>
  <si>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</si>
  <si>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</si>
  <si>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</si>
  <si>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</si>
  <si>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</si>
  <si>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State Property Tax Reimbursements</t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</si>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</sst>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,000"/>
    <numFmt numFmtId="165" formatCode="&quot;$&quot;#,##0"/>
    <numFmt numFmtId="166" formatCode="#,##0.0"/>
  </numFmts>
  <fonts count="23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798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9" fontId="11" fillId="0" borderId="0" applyFont="0" applyFill="0" applyBorder="0" applyAlignment="0" applyProtection="0"/>
  </cellStyleXfs>
  <cellXfs count="76">
    <xf numFmtId="0" fontId="0" fillId="0" borderId="0" xfId="0"/>
    <xf numFmtId="0" fontId="9" fillId="0" borderId="0" xfId="4"/>
    <xf numFmtId="43" fontId="0" fillId="0" borderId="0" xfId="5" applyFont="1" applyFill="1"/>
    <xf numFmtId="0" fontId="10" fillId="0" borderId="0" xfId="4" applyFont="1"/>
    <xf numFmtId="43" fontId="10" fillId="0" borderId="0" xfId="5" applyFont="1" applyFill="1"/>
    <xf numFmtId="0" fontId="7" fillId="0" borderId="1" xfId="4" applyFont="1" applyBorder="1" applyAlignment="1">
      <alignment wrapText="1"/>
    </xf>
    <xf numFmtId="43" fontId="7" fillId="0" borderId="1" xfId="5" applyFont="1" applyFill="1" applyBorder="1" applyAlignment="1">
      <alignment horizontal="center" vertical="top" wrapText="1"/>
    </xf>
    <xf numFmtId="0" fontId="7" fillId="9" borderId="0" xfId="4" applyFont="1" applyFill="1" applyAlignment="1">
      <alignment horizontal="center" vertical="top" wrapText="1"/>
    </xf>
    <xf numFmtId="0" fontId="9" fillId="0" borderId="0" xfId="4" applyAlignment="1">
      <alignment wrapText="1"/>
    </xf>
    <xf numFmtId="0" fontId="9" fillId="0" borderId="1" xfId="4" applyBorder="1" applyAlignment="1">
      <alignment horizontal="left"/>
    </xf>
    <xf numFmtId="43" fontId="0" fillId="0" borderId="1" xfId="5" applyFont="1" applyFill="1" applyBorder="1" applyAlignment="1">
      <alignment horizontal="left"/>
    </xf>
    <xf numFmtId="43" fontId="0" fillId="9" borderId="2" xfId="5" applyFont="1" applyFill="1" applyBorder="1" applyAlignment="1">
      <alignment horizontal="right"/>
    </xf>
    <xf numFmtId="43" fontId="0" fillId="9" borderId="1" xfId="5" applyFont="1" applyFill="1" applyBorder="1" applyAlignment="1">
      <alignment horizontal="right"/>
    </xf>
    <xf numFmtId="43" fontId="0" fillId="9" borderId="1" xfId="5" applyFont="1" applyFill="1" applyBorder="1"/>
    <xf numFmtId="0" fontId="9" fillId="0" borderId="1" xfId="4" applyBorder="1"/>
    <xf numFmtId="0" fontId="8" fillId="0" borderId="1" xfId="4" applyFont="1" applyBorder="1"/>
    <xf numFmtId="43" fontId="0" fillId="0" borderId="0" xfId="5" applyFont="1"/>
    <xf numFmtId="0" fontId="12" fillId="0" borderId="0" xfId="6" applyFont="1"/>
    <xf numFmtId="0" fontId="11" fillId="0" borderId="0" xfId="6"/>
    <xf numFmtId="0" fontId="13" fillId="0" borderId="0" xfId="6" applyFont="1"/>
    <xf numFmtId="3" fontId="13" fillId="0" borderId="0" xfId="6" applyNumberFormat="1" applyFont="1"/>
    <xf numFmtId="165" fontId="13" fillId="0" borderId="0" xfId="6" applyNumberFormat="1" applyFont="1"/>
    <xf numFmtId="3" fontId="12" fillId="0" borderId="0" xfId="6" applyNumberFormat="1" applyFont="1"/>
    <xf numFmtId="165" fontId="12" fillId="0" borderId="0" xfId="6" applyNumberFormat="1" applyFont="1"/>
    <xf numFmtId="49" fontId="14" fillId="0" borderId="0" xfId="6" applyNumberFormat="1" applyFont="1"/>
    <xf numFmtId="166" fontId="16" fillId="0" borderId="0" xfId="6" applyNumberFormat="1" applyFont="1"/>
    <xf numFmtId="0" fontId="17" fillId="0" borderId="0" xfId="6" applyFont="1"/>
    <xf numFmtId="166" fontId="17" fillId="0" borderId="0" xfId="6" applyNumberFormat="1" applyFont="1"/>
    <xf numFmtId="49" fontId="18" fillId="0" borderId="0" xfId="7" applyNumberFormat="1" applyFont="1"/>
    <xf numFmtId="0" fontId="7" fillId="0" borderId="0" xfId="7" applyFont="1"/>
    <xf numFmtId="0" fontId="7" fillId="0" borderId="0" xfId="7" applyFont="1" applyAlignment="1">
      <alignment horizontal="center"/>
    </xf>
    <xf numFmtId="0" fontId="8" fillId="0" borderId="0" xfId="7"/>
    <xf numFmtId="0" fontId="8" fillId="0" borderId="0" xfId="7" applyAlignment="1">
      <alignment horizontal="left"/>
    </xf>
    <xf numFmtId="0" fontId="19" fillId="0" borderId="0" xfId="7" applyFont="1" applyAlignment="1">
      <alignment horizontal="left"/>
    </xf>
    <xf numFmtId="0" fontId="19" fillId="0" borderId="0" xfId="7" applyFont="1"/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left"/>
    </xf>
    <xf numFmtId="0" fontId="2" fillId="0" borderId="0" xfId="1"/>
    <xf numFmtId="0" fontId="2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2" borderId="0" xfId="1" applyFill="1"/>
    <xf numFmtId="0" fontId="6" fillId="0" borderId="0" xfId="1" applyFont="1"/>
    <xf numFmtId="164" fontId="2" fillId="0" borderId="0" xfId="1" applyNumberFormat="1"/>
    <xf numFmtId="3" fontId="2" fillId="0" borderId="0" xfId="1" applyNumberFormat="1"/>
    <xf numFmtId="0" fontId="6" fillId="2" borderId="0" xfId="1" applyFont="1" applyFill="1"/>
    <xf numFmtId="0" fontId="6" fillId="3" borderId="0" xfId="1" applyFont="1" applyFill="1"/>
    <xf numFmtId="0" fontId="6" fillId="10" borderId="0" xfId="1" applyFont="1" applyFill="1"/>
    <xf numFmtId="0" fontId="6" fillId="11" borderId="0" xfId="1" applyFont="1" applyFill="1"/>
    <xf numFmtId="0" fontId="6" fillId="4" borderId="0" xfId="1" applyFont="1" applyFill="1"/>
    <xf numFmtId="0" fontId="22" fillId="0" borderId="0" xfId="1" applyFont="1"/>
    <xf numFmtId="0" fontId="2" fillId="3" borderId="0" xfId="1" applyFill="1"/>
    <xf numFmtId="0" fontId="2" fillId="10" borderId="0" xfId="1" applyFill="1"/>
    <xf numFmtId="0" fontId="2" fillId="11" borderId="0" xfId="1" applyFill="1"/>
    <xf numFmtId="0" fontId="2" fillId="4" borderId="0" xfId="1" applyFill="1"/>
    <xf numFmtId="0" fontId="4" fillId="0" borderId="0" xfId="1" applyFont="1"/>
    <xf numFmtId="0" fontId="3" fillId="0" borderId="0" xfId="1" applyFont="1"/>
    <xf numFmtId="0" fontId="2" fillId="5" borderId="0" xfId="1" applyFill="1"/>
    <xf numFmtId="0" fontId="2" fillId="6" borderId="0" xfId="1" applyFill="1"/>
    <xf numFmtId="0" fontId="2" fillId="7" borderId="0" xfId="1" applyFill="1"/>
    <xf numFmtId="0" fontId="2" fillId="8" borderId="0" xfId="1" applyFill="1"/>
    <xf numFmtId="0" fontId="5" fillId="0" borderId="0" xfId="1" applyFont="1"/>
    <xf numFmtId="0" fontId="3" fillId="6" borderId="0" xfId="1" applyFont="1" applyFill="1"/>
    <xf numFmtId="0" fontId="3" fillId="7" borderId="0" xfId="1" applyFont="1" applyFill="1"/>
    <xf numFmtId="0" fontId="3" fillId="10" borderId="0" xfId="1" applyFont="1" applyFill="1"/>
    <xf numFmtId="164" fontId="3" fillId="0" borderId="0" xfId="1" applyNumberFormat="1" applyFont="1"/>
    <xf numFmtId="3" fontId="3" fillId="0" borderId="0" xfId="1" applyNumberFormat="1" applyFont="1"/>
    <xf numFmtId="3" fontId="13" fillId="0" borderId="0" xfId="6" applyNumberFormat="1" applyFont="1" applyAlignment="1">
      <alignment horizontal="right"/>
    </xf>
    <xf numFmtId="165" fontId="13" fillId="0" borderId="0" xfId="6" applyNumberFormat="1" applyFont="1" applyAlignment="1">
      <alignment horizontal="right"/>
    </xf>
    <xf numFmtId="0" fontId="12" fillId="0" borderId="3" xfId="6" applyFont="1" applyBorder="1" applyAlignment="1">
      <alignment horizontal="center" vertical="center" wrapText="1"/>
    </xf>
    <xf numFmtId="3" fontId="12" fillId="0" borderId="3" xfId="6" applyNumberFormat="1" applyFont="1" applyBorder="1" applyAlignment="1">
      <alignment horizontal="center" wrapText="1"/>
    </xf>
    <xf numFmtId="165" fontId="12" fillId="0" borderId="3" xfId="6" applyNumberFormat="1" applyFont="1" applyBorder="1" applyAlignment="1">
      <alignment horizontal="center" wrapText="1"/>
    </xf>
    <xf numFmtId="43" fontId="0" fillId="0" borderId="1" xfId="5" applyFont="1" applyFill="1" applyBorder="1" applyAlignment="1"/>
    <xf numFmtId="43" fontId="8" fillId="0" borderId="1" xfId="5" applyFont="1" applyFill="1" applyBorder="1" applyAlignment="1"/>
    <xf numFmtId="0" fontId="10" fillId="0" borderId="0" xfId="7" applyFont="1" applyAlignment="1">
      <alignment horizontal="center"/>
    </xf>
    <xf numFmtId="0" fontId="7" fillId="0" borderId="0" xfId="4" applyFont="1" applyAlignment="1">
      <alignment horizontal="center"/>
    </xf>
  </cellXfs>
  <cellStyles count="9">
    <cellStyle name="Comma 2" xfId="2" xr:uid="{186AB83C-D6DC-493F-9B34-380EBEA520ED}"/>
    <cellStyle name="Comma 3" xfId="5" xr:uid="{569BA46A-F884-4BF6-A32A-730E897A5D91}"/>
    <cellStyle name="Normal" xfId="0" builtinId="0"/>
    <cellStyle name="Normal 2" xfId="1" xr:uid="{EDAE308F-5E77-4224-855B-EB1024206B36}"/>
    <cellStyle name="Normal 2 2" xfId="3" xr:uid="{E430F12A-3755-4E89-AD83-9A593CC48AE1}"/>
    <cellStyle name="Normal 3" xfId="4" xr:uid="{81DADDDE-FE27-4855-8480-DDE9C1A09E68}"/>
    <cellStyle name="Normal 3 2" xfId="7" xr:uid="{7F852499-5FE2-45FC-8F02-1E4E5BD3D8C5}"/>
    <cellStyle name="Normal 4" xfId="6" xr:uid="{BFDBA03F-EABB-4E35-80DF-0EF1213BA80D}"/>
    <cellStyle name="Percent 2" xfId="8" xr:uid="{C9FA0C7A-CCEB-42E5-B89B-32659FE1E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_Ops\Finance\Fin1\FISCAL%20PRACTICES\Fiscal%20Practices%20General%20Fund%20Reserve%20Fund%20Test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 Unrestricted FB Test"/>
      <sheetName val="General Fund Salaries FY23"/>
      <sheetName val="Unassigned Fund Balance FY23"/>
      <sheetName val="Unassigned Fund Balance FY22"/>
      <sheetName val="Admin Cost Report Data"/>
      <sheetName val="General Fund Salaries FY21"/>
      <sheetName val="General Fund Salaries FY20"/>
      <sheetName val="General Fund Salaries FY22"/>
      <sheetName val="Unassigned Fund Balance FY21"/>
    </sheetNames>
    <sheetDataSet>
      <sheetData sheetId="0">
        <row r="11">
          <cell r="AL11">
            <v>10135022</v>
          </cell>
          <cell r="AS11">
            <v>2376054.3229499999</v>
          </cell>
        </row>
        <row r="12">
          <cell r="AL12">
            <v>81002304</v>
          </cell>
          <cell r="AS12">
            <v>17735043.976999998</v>
          </cell>
        </row>
        <row r="13">
          <cell r="AL13">
            <v>13376010</v>
          </cell>
          <cell r="AS13">
            <v>1032738.3227</v>
          </cell>
        </row>
        <row r="14">
          <cell r="AL14">
            <v>29878073</v>
          </cell>
          <cell r="AS14">
            <v>7294975.4671499999</v>
          </cell>
        </row>
        <row r="15">
          <cell r="AL15">
            <v>12137466</v>
          </cell>
          <cell r="AS15">
            <v>2593899.8582000001</v>
          </cell>
        </row>
        <row r="16">
          <cell r="AL16">
            <v>7879968</v>
          </cell>
          <cell r="AS16">
            <v>2067463.22545</v>
          </cell>
        </row>
        <row r="17">
          <cell r="AL17">
            <v>9525490</v>
          </cell>
          <cell r="AS17">
            <v>2715169.5392499999</v>
          </cell>
        </row>
        <row r="18">
          <cell r="AL18">
            <v>41867105</v>
          </cell>
          <cell r="AS18">
            <v>10381659.2579</v>
          </cell>
        </row>
        <row r="21">
          <cell r="AL21">
            <v>8934246</v>
          </cell>
          <cell r="AS21">
            <v>1707312.1768499999</v>
          </cell>
        </row>
        <row r="24">
          <cell r="AL24">
            <v>9767875</v>
          </cell>
          <cell r="AS24">
            <v>1048494.1845</v>
          </cell>
        </row>
        <row r="25">
          <cell r="AL25">
            <v>7577798</v>
          </cell>
          <cell r="AS25">
            <v>1657223.3454</v>
          </cell>
        </row>
        <row r="26">
          <cell r="AL26">
            <v>64288861</v>
          </cell>
          <cell r="AS26">
            <v>23010725.359999999</v>
          </cell>
        </row>
        <row r="27">
          <cell r="AL27">
            <v>131642480</v>
          </cell>
          <cell r="AS27">
            <v>29965913.088300001</v>
          </cell>
        </row>
        <row r="28">
          <cell r="AL28">
            <v>9548915</v>
          </cell>
          <cell r="AS28">
            <v>1416091.2534999999</v>
          </cell>
        </row>
        <row r="29">
          <cell r="AL29">
            <v>186281795</v>
          </cell>
          <cell r="AS29">
            <v>45127180.862750001</v>
          </cell>
        </row>
        <row r="30">
          <cell r="AL30">
            <v>33845433</v>
          </cell>
          <cell r="AS30">
            <v>6513616.05265</v>
          </cell>
        </row>
        <row r="31">
          <cell r="AL31">
            <v>21634311</v>
          </cell>
          <cell r="AS31">
            <v>3941896.8186499998</v>
          </cell>
        </row>
        <row r="32">
          <cell r="AL32">
            <v>13351354</v>
          </cell>
          <cell r="AS32">
            <v>5514186.1096000001</v>
          </cell>
        </row>
        <row r="33">
          <cell r="AS33">
            <v>0</v>
          </cell>
        </row>
        <row r="34">
          <cell r="AS34">
            <v>892676.82805000001</v>
          </cell>
        </row>
        <row r="35">
          <cell r="AS35">
            <v>0</v>
          </cell>
        </row>
        <row r="38">
          <cell r="AL38">
            <v>18009096</v>
          </cell>
          <cell r="AS38">
            <v>3799877.7323500002</v>
          </cell>
        </row>
        <row r="39">
          <cell r="AL39">
            <v>30983001</v>
          </cell>
          <cell r="AS39">
            <v>8776160.7142999992</v>
          </cell>
        </row>
        <row r="40">
          <cell r="AL40">
            <v>2892453</v>
          </cell>
          <cell r="AS40">
            <v>923815.326</v>
          </cell>
        </row>
        <row r="41">
          <cell r="AL41">
            <v>10154219</v>
          </cell>
          <cell r="AS41">
            <v>2510020.2984500001</v>
          </cell>
        </row>
        <row r="42">
          <cell r="AL42">
            <v>64998060</v>
          </cell>
          <cell r="AS42">
            <v>18854536.70905</v>
          </cell>
        </row>
        <row r="43">
          <cell r="AL43">
            <v>5891506</v>
          </cell>
          <cell r="AS43">
            <v>2390966.0225499999</v>
          </cell>
        </row>
        <row r="44">
          <cell r="AL44">
            <v>8495378</v>
          </cell>
          <cell r="AS44">
            <v>2807743.8280500001</v>
          </cell>
        </row>
        <row r="45">
          <cell r="AL45">
            <v>16078770</v>
          </cell>
          <cell r="AS45">
            <v>3318718.5647</v>
          </cell>
        </row>
        <row r="46">
          <cell r="AL46">
            <v>45140508</v>
          </cell>
          <cell r="AS46">
            <v>13113055.6788</v>
          </cell>
        </row>
        <row r="47">
          <cell r="AL47">
            <v>1038644</v>
          </cell>
          <cell r="AS47">
            <v>853430.11635000003</v>
          </cell>
        </row>
        <row r="48">
          <cell r="AL48">
            <v>13069926</v>
          </cell>
          <cell r="AS48">
            <v>2426803.76505</v>
          </cell>
        </row>
        <row r="49">
          <cell r="AS49">
            <v>229874.5134</v>
          </cell>
        </row>
        <row r="50">
          <cell r="AL50">
            <v>3193936</v>
          </cell>
          <cell r="AS50">
            <v>922115.7561</v>
          </cell>
        </row>
        <row r="51">
          <cell r="AL51">
            <v>27168047</v>
          </cell>
          <cell r="AS51">
            <v>7638283.0475000003</v>
          </cell>
        </row>
        <row r="52">
          <cell r="AL52">
            <v>223602503</v>
          </cell>
          <cell r="AS52">
            <v>58976576.38775</v>
          </cell>
        </row>
        <row r="53">
          <cell r="AL53">
            <v>26765520</v>
          </cell>
          <cell r="AS53">
            <v>6644802.3487999998</v>
          </cell>
        </row>
        <row r="54">
          <cell r="AL54">
            <v>5783353</v>
          </cell>
          <cell r="AS54">
            <v>730967.49600000004</v>
          </cell>
        </row>
        <row r="55">
          <cell r="AL55">
            <v>9553627</v>
          </cell>
          <cell r="AS55">
            <v>1109454.4989499999</v>
          </cell>
        </row>
        <row r="56">
          <cell r="AS56">
            <v>0</v>
          </cell>
        </row>
        <row r="57">
          <cell r="AS57">
            <v>0</v>
          </cell>
        </row>
        <row r="58">
          <cell r="AL58">
            <v>5920662</v>
          </cell>
          <cell r="AS58">
            <v>2230814.44215</v>
          </cell>
        </row>
        <row r="59">
          <cell r="AL59">
            <v>165541354</v>
          </cell>
          <cell r="AS59">
            <v>39801692.743749999</v>
          </cell>
        </row>
        <row r="60">
          <cell r="AS60">
            <v>1158505.2041499999</v>
          </cell>
        </row>
        <row r="61">
          <cell r="AL61">
            <v>19274171</v>
          </cell>
          <cell r="AS61">
            <v>8118501.3416499998</v>
          </cell>
        </row>
        <row r="62">
          <cell r="AL62">
            <v>33769175</v>
          </cell>
          <cell r="AS62">
            <v>11494622.894300001</v>
          </cell>
        </row>
        <row r="63">
          <cell r="AL63">
            <v>9215519</v>
          </cell>
          <cell r="AS63">
            <v>4263545.1911500003</v>
          </cell>
        </row>
        <row r="64">
          <cell r="AL64">
            <v>5617682</v>
          </cell>
          <cell r="AS64">
            <v>2354974.59155</v>
          </cell>
        </row>
        <row r="65">
          <cell r="AL65">
            <v>5771194</v>
          </cell>
          <cell r="AS65">
            <v>1278032.0826000001</v>
          </cell>
        </row>
        <row r="66">
          <cell r="AL66">
            <v>104811580</v>
          </cell>
          <cell r="AS66">
            <v>25702857.492899999</v>
          </cell>
        </row>
        <row r="67">
          <cell r="AL67">
            <v>21424744</v>
          </cell>
          <cell r="AS67">
            <v>7636331.2035499997</v>
          </cell>
        </row>
        <row r="68">
          <cell r="AL68">
            <v>10999735</v>
          </cell>
          <cell r="AS68">
            <v>1989110.82895</v>
          </cell>
        </row>
        <row r="69">
          <cell r="AL69">
            <v>24535024</v>
          </cell>
          <cell r="AS69">
            <v>2636950.9225499998</v>
          </cell>
        </row>
        <row r="70">
          <cell r="AL70">
            <v>56020807</v>
          </cell>
          <cell r="AS70">
            <v>17517513.149149999</v>
          </cell>
        </row>
        <row r="71">
          <cell r="AL71">
            <v>14370993</v>
          </cell>
          <cell r="AS71">
            <v>3038238.0518</v>
          </cell>
        </row>
        <row r="72">
          <cell r="AL72">
            <v>12656659</v>
          </cell>
          <cell r="AS72">
            <v>2973527.2381500001</v>
          </cell>
        </row>
        <row r="73">
          <cell r="AL73">
            <v>4120437</v>
          </cell>
          <cell r="AS73">
            <v>813420.33499999996</v>
          </cell>
        </row>
        <row r="74">
          <cell r="AL74">
            <v>26692467</v>
          </cell>
          <cell r="AS74">
            <v>5042858.4660999998</v>
          </cell>
        </row>
        <row r="75">
          <cell r="AL75">
            <v>33841381</v>
          </cell>
          <cell r="AS75">
            <v>9327556.1095499992</v>
          </cell>
        </row>
        <row r="79">
          <cell r="AL79">
            <v>36107316</v>
          </cell>
          <cell r="AS79">
            <v>9793021.7237999998</v>
          </cell>
        </row>
        <row r="80">
          <cell r="AL80">
            <v>48341846</v>
          </cell>
          <cell r="AS80">
            <v>11721747.9246</v>
          </cell>
        </row>
        <row r="81">
          <cell r="AL81">
            <v>78909406</v>
          </cell>
          <cell r="AS81">
            <v>26702755.83185</v>
          </cell>
        </row>
        <row r="82">
          <cell r="AL82">
            <v>111821813</v>
          </cell>
          <cell r="AS82">
            <v>25943650.9703</v>
          </cell>
        </row>
        <row r="83">
          <cell r="AL83">
            <v>10730660</v>
          </cell>
          <cell r="AS83">
            <v>1771680.8773999999</v>
          </cell>
        </row>
        <row r="84">
          <cell r="AL84">
            <v>2091855</v>
          </cell>
          <cell r="AS84">
            <v>310366.92855000001</v>
          </cell>
        </row>
        <row r="85">
          <cell r="AL85">
            <v>18577013</v>
          </cell>
          <cell r="AS85">
            <v>4146518.0624000002</v>
          </cell>
        </row>
        <row r="86">
          <cell r="AL86">
            <v>22061059</v>
          </cell>
          <cell r="AS86">
            <v>7485658.0802499996</v>
          </cell>
        </row>
        <row r="87">
          <cell r="AL87">
            <v>7815285</v>
          </cell>
          <cell r="AS87">
            <v>2501740.19515</v>
          </cell>
        </row>
        <row r="88">
          <cell r="AL88">
            <v>17589585</v>
          </cell>
          <cell r="AS88">
            <v>2056291.61255</v>
          </cell>
        </row>
        <row r="89">
          <cell r="AL89">
            <v>27113894</v>
          </cell>
          <cell r="AS89">
            <v>8155156.34045</v>
          </cell>
        </row>
        <row r="90">
          <cell r="AL90">
            <v>20301253</v>
          </cell>
          <cell r="AS90">
            <v>9724313.3848000001</v>
          </cell>
        </row>
        <row r="91">
          <cell r="AL91">
            <v>17500000</v>
          </cell>
          <cell r="AS91">
            <v>6576445.5357999997</v>
          </cell>
        </row>
        <row r="92">
          <cell r="AL92">
            <v>51402592</v>
          </cell>
          <cell r="AS92">
            <v>10862603.886399999</v>
          </cell>
        </row>
        <row r="93">
          <cell r="AL93">
            <v>6610775</v>
          </cell>
          <cell r="AS93">
            <v>2685513.0732499999</v>
          </cell>
        </row>
        <row r="94">
          <cell r="AL94">
            <v>15818251</v>
          </cell>
          <cell r="AS94">
            <v>2734479.5621500001</v>
          </cell>
        </row>
        <row r="95">
          <cell r="AL95">
            <v>13707765</v>
          </cell>
          <cell r="AS95">
            <v>4398774.2028999999</v>
          </cell>
        </row>
        <row r="96">
          <cell r="AL96">
            <v>31129442</v>
          </cell>
          <cell r="AS96">
            <v>8371267.4863999998</v>
          </cell>
        </row>
        <row r="97">
          <cell r="AL97">
            <v>42646792</v>
          </cell>
          <cell r="AS97">
            <v>14904346.709000001</v>
          </cell>
        </row>
        <row r="98">
          <cell r="AL98">
            <v>43159988</v>
          </cell>
          <cell r="AS98">
            <v>15261712.24725</v>
          </cell>
        </row>
        <row r="99">
          <cell r="AL99">
            <v>4023334</v>
          </cell>
          <cell r="AS99">
            <v>284545.67784999998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1233-61AE-49A6-A4AB-F99BDAD10420}">
  <dimension ref="A1:FK153"/>
  <sheetViews>
    <sheetView tabSelected="1" topLeftCell="CH1" workbookViewId="0">
      <selection activeCell="C2" sqref="C2"/>
    </sheetView>
  </sheetViews>
  <sheetFormatPr defaultRowHeight="15" x14ac:dyDescent="0.25"/>
  <cols>
    <col min="1" max="1" width="9.140625" style="37"/>
    <col min="2" max="2" width="89.42578125" style="37" customWidth="1"/>
    <col min="3" max="3" width="12.140625" style="37" customWidth="1"/>
    <col min="4" max="4" width="13" style="37" customWidth="1"/>
    <col min="5" max="5" width="12.28515625" style="37" customWidth="1"/>
    <col min="6" max="10" width="12.5703125" style="37" customWidth="1"/>
    <col min="11" max="11" width="12" style="37" customWidth="1"/>
    <col min="12" max="15" width="11.7109375" style="37" customWidth="1"/>
    <col min="16" max="16" width="11.28515625" style="37" customWidth="1"/>
    <col min="17" max="17" width="13.5703125" style="37" customWidth="1"/>
    <col min="18" max="18" width="12.42578125" style="37" customWidth="1"/>
    <col min="19" max="19" width="10.85546875" style="37" customWidth="1"/>
    <col min="20" max="20" width="14.7109375" style="37" customWidth="1"/>
    <col min="21" max="21" width="13.140625" style="37" customWidth="1"/>
    <col min="22" max="22" width="11.42578125" style="37" customWidth="1"/>
    <col min="23" max="23" width="13.28515625" style="37" customWidth="1"/>
    <col min="24" max="25" width="9.140625" style="37" customWidth="1"/>
    <col min="26" max="27" width="13.85546875" style="37" customWidth="1"/>
    <col min="28" max="28" width="12.28515625" style="37" customWidth="1"/>
    <col min="29" max="29" width="11.140625" style="37" customWidth="1"/>
    <col min="30" max="33" width="11.7109375" style="37" customWidth="1"/>
    <col min="34" max="34" width="15" style="37" customWidth="1"/>
    <col min="35" max="35" width="13" style="37" customWidth="1"/>
    <col min="36" max="38" width="14.42578125" style="37" customWidth="1"/>
    <col min="39" max="39" width="12.28515625" style="37" customWidth="1"/>
    <col min="40" max="40" width="9.140625" style="37" customWidth="1"/>
    <col min="41" max="41" width="9.5703125" style="37" customWidth="1"/>
    <col min="42" max="42" width="11.5703125" style="37" customWidth="1"/>
    <col min="43" max="43" width="12.42578125" style="37" customWidth="1"/>
    <col min="44" max="45" width="11" style="37" customWidth="1"/>
    <col min="46" max="46" width="9.140625" style="37" customWidth="1"/>
    <col min="47" max="51" width="12.5703125" style="37" customWidth="1"/>
    <col min="52" max="52" width="14" style="37" customWidth="1"/>
    <col min="53" max="53" width="10.42578125" style="37" customWidth="1"/>
    <col min="54" max="54" width="12.42578125" style="37" customWidth="1"/>
    <col min="55" max="55" width="12.7109375" style="37" customWidth="1"/>
    <col min="56" max="56" width="10.85546875" style="37" customWidth="1"/>
    <col min="57" max="57" width="14.5703125" style="37" customWidth="1"/>
    <col min="58" max="58" width="10.5703125" style="37" customWidth="1"/>
    <col min="59" max="60" width="11.5703125" style="37" customWidth="1"/>
    <col min="61" max="61" width="9.85546875" style="37" customWidth="1"/>
    <col min="62" max="68" width="14.85546875" style="37" customWidth="1"/>
    <col min="69" max="69" width="10.42578125" style="37" customWidth="1"/>
    <col min="70" max="70" width="9.42578125" style="37" customWidth="1"/>
    <col min="71" max="71" width="15.5703125" style="37" customWidth="1"/>
    <col min="72" max="75" width="9.140625" style="37" customWidth="1"/>
    <col min="76" max="76" width="29.42578125" style="37" customWidth="1"/>
    <col min="77" max="77" width="25" style="37" customWidth="1"/>
    <col min="78" max="78" width="28.140625" style="37" customWidth="1"/>
    <col min="79" max="79" width="19.42578125" style="37" customWidth="1"/>
    <col min="80" max="87" width="9.140625" style="37"/>
    <col min="88" max="88" width="63.7109375" style="37" bestFit="1" customWidth="1"/>
    <col min="89" max="89" width="12" style="37" bestFit="1" customWidth="1"/>
    <col min="90" max="90" width="11.140625" style="37" bestFit="1" customWidth="1"/>
    <col min="91" max="96" width="12" style="37" bestFit="1" customWidth="1"/>
    <col min="97" max="99" width="11.28515625" style="37" bestFit="1" customWidth="1"/>
    <col min="100" max="100" width="11.140625" style="37" bestFit="1" customWidth="1"/>
    <col min="101" max="101" width="11.28515625" style="37" bestFit="1" customWidth="1"/>
    <col min="102" max="102" width="10.7109375" style="37" bestFit="1" customWidth="1"/>
    <col min="103" max="103" width="13.140625" style="37" bestFit="1" customWidth="1"/>
    <col min="104" max="104" width="12" style="37" bestFit="1" customWidth="1"/>
    <col min="105" max="105" width="10.28515625" style="37" bestFit="1" customWidth="1"/>
    <col min="106" max="106" width="14.5703125" style="37" bestFit="1" customWidth="1"/>
    <col min="107" max="107" width="12.5703125" style="37" bestFit="1" customWidth="1"/>
    <col min="108" max="108" width="11" style="37" bestFit="1" customWidth="1"/>
    <col min="109" max="109" width="12.7109375" style="37" bestFit="1" customWidth="1"/>
    <col min="110" max="111" width="10.140625" style="37" bestFit="1" customWidth="1"/>
    <col min="112" max="113" width="13.28515625" style="37" bestFit="1" customWidth="1"/>
    <col min="114" max="114" width="11.85546875" style="37" bestFit="1" customWidth="1"/>
    <col min="115" max="115" width="10.85546875" style="37" bestFit="1" customWidth="1"/>
    <col min="116" max="119" width="11.140625" style="37" bestFit="1" customWidth="1"/>
    <col min="120" max="120" width="14.5703125" style="37" bestFit="1" customWidth="1"/>
    <col min="121" max="121" width="12.7109375" style="37" bestFit="1" customWidth="1"/>
    <col min="122" max="124" width="14" style="37" bestFit="1" customWidth="1"/>
    <col min="125" max="125" width="11.5703125" style="37" bestFit="1" customWidth="1"/>
    <col min="126" max="126" width="11.140625" style="37" bestFit="1" customWidth="1"/>
    <col min="127" max="127" width="9" style="37" bestFit="1" customWidth="1"/>
    <col min="128" max="128" width="11" style="37" bestFit="1" customWidth="1"/>
    <col min="129" max="129" width="11.7109375" style="37" bestFit="1" customWidth="1"/>
    <col min="130" max="131" width="10.28515625" style="37" bestFit="1" customWidth="1"/>
    <col min="132" max="132" width="10.140625" style="37" bestFit="1" customWidth="1"/>
    <col min="133" max="137" width="12.140625" style="37" bestFit="1" customWidth="1"/>
    <col min="138" max="138" width="13.28515625" style="37" bestFit="1" customWidth="1"/>
    <col min="139" max="139" width="10.140625" style="37" bestFit="1" customWidth="1"/>
    <col min="140" max="140" width="11.5703125" style="37" bestFit="1" customWidth="1"/>
    <col min="141" max="141" width="12.28515625" style="37" bestFit="1" customWidth="1"/>
    <col min="142" max="142" width="11.140625" style="37" bestFit="1" customWidth="1"/>
    <col min="143" max="143" width="14" style="37" bestFit="1" customWidth="1"/>
    <col min="144" max="146" width="11.140625" style="37" bestFit="1" customWidth="1"/>
    <col min="147" max="147" width="10.140625" style="37" bestFit="1" customWidth="1"/>
    <col min="148" max="154" width="14.28515625" style="37" bestFit="1" customWidth="1"/>
    <col min="155" max="155" width="11.140625" style="37" bestFit="1" customWidth="1"/>
    <col min="156" max="156" width="10.140625" style="37" bestFit="1" customWidth="1"/>
    <col min="157" max="157" width="15.28515625" style="37" bestFit="1" customWidth="1"/>
    <col min="158" max="158" width="10.140625" style="37" bestFit="1" customWidth="1"/>
    <col min="159" max="161" width="11.140625" style="37" bestFit="1" customWidth="1"/>
    <col min="162" max="162" width="29.7109375" style="37" bestFit="1" customWidth="1"/>
    <col min="163" max="163" width="25" style="37" bestFit="1" customWidth="1"/>
    <col min="164" max="164" width="28.42578125" style="37" bestFit="1" customWidth="1"/>
    <col min="165" max="165" width="13.85546875" style="37" bestFit="1" customWidth="1"/>
    <col min="166" max="16384" width="9.140625" style="37"/>
  </cols>
  <sheetData>
    <row r="1" spans="1:167" x14ac:dyDescent="0.25">
      <c r="A1" s="37" t="s">
        <v>569</v>
      </c>
    </row>
    <row r="2" spans="1:167" ht="15.75" x14ac:dyDescent="0.25">
      <c r="A2" s="37" t="s">
        <v>1367</v>
      </c>
      <c r="CJ2" s="55" t="s">
        <v>1374</v>
      </c>
    </row>
    <row r="3" spans="1:167" x14ac:dyDescent="0.25"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37" t="s">
        <v>11</v>
      </c>
      <c r="N3" s="37" t="s">
        <v>12</v>
      </c>
      <c r="O3" s="37" t="s">
        <v>13</v>
      </c>
      <c r="P3" s="37" t="s">
        <v>14</v>
      </c>
      <c r="Q3" s="37" t="s">
        <v>15</v>
      </c>
      <c r="R3" s="37" t="s">
        <v>16</v>
      </c>
      <c r="S3" s="37" t="s">
        <v>17</v>
      </c>
      <c r="T3" s="37" t="s">
        <v>18</v>
      </c>
      <c r="U3" s="37" t="s">
        <v>19</v>
      </c>
      <c r="V3" s="37" t="s">
        <v>20</v>
      </c>
      <c r="W3" s="37" t="s">
        <v>21</v>
      </c>
      <c r="X3" s="37" t="s">
        <v>22</v>
      </c>
      <c r="Y3" s="37" t="s">
        <v>23</v>
      </c>
      <c r="Z3" s="37" t="s">
        <v>24</v>
      </c>
      <c r="AA3" s="37" t="s">
        <v>25</v>
      </c>
      <c r="AB3" s="37" t="s">
        <v>26</v>
      </c>
      <c r="AC3" s="37" t="s">
        <v>27</v>
      </c>
      <c r="AD3" s="37" t="s">
        <v>570</v>
      </c>
      <c r="AE3" s="37" t="s">
        <v>29</v>
      </c>
      <c r="AF3" s="37" t="s">
        <v>30</v>
      </c>
      <c r="AG3" s="37" t="s">
        <v>31</v>
      </c>
      <c r="AH3" s="37" t="s">
        <v>32</v>
      </c>
      <c r="AI3" s="37" t="s">
        <v>33</v>
      </c>
      <c r="AJ3" s="37" t="s">
        <v>34</v>
      </c>
      <c r="AK3" s="37" t="s">
        <v>35</v>
      </c>
      <c r="AL3" s="37" t="s">
        <v>36</v>
      </c>
      <c r="AM3" s="37" t="s">
        <v>37</v>
      </c>
      <c r="AN3" s="37" t="s">
        <v>38</v>
      </c>
      <c r="AO3" s="37" t="s">
        <v>39</v>
      </c>
      <c r="AP3" s="37" t="s">
        <v>40</v>
      </c>
      <c r="AQ3" s="37" t="s">
        <v>41</v>
      </c>
      <c r="AR3" s="37" t="s">
        <v>42</v>
      </c>
      <c r="AS3" s="37" t="s">
        <v>43</v>
      </c>
      <c r="AT3" s="37" t="s">
        <v>44</v>
      </c>
      <c r="AU3" s="37" t="s">
        <v>45</v>
      </c>
      <c r="AV3" s="37" t="s">
        <v>46</v>
      </c>
      <c r="AW3" s="37" t="s">
        <v>47</v>
      </c>
      <c r="AX3" s="37" t="s">
        <v>48</v>
      </c>
      <c r="AY3" s="37" t="s">
        <v>49</v>
      </c>
      <c r="AZ3" s="37" t="s">
        <v>50</v>
      </c>
      <c r="BA3" s="37" t="s">
        <v>51</v>
      </c>
      <c r="BB3" s="37" t="s">
        <v>52</v>
      </c>
      <c r="BC3" s="37" t="s">
        <v>53</v>
      </c>
      <c r="BD3" s="37" t="s">
        <v>54</v>
      </c>
      <c r="BE3" s="37" t="s">
        <v>55</v>
      </c>
      <c r="BF3" s="37" t="s">
        <v>56</v>
      </c>
      <c r="BG3" s="37" t="s">
        <v>57</v>
      </c>
      <c r="BH3" s="37" t="s">
        <v>58</v>
      </c>
      <c r="BI3" s="37" t="s">
        <v>59</v>
      </c>
      <c r="BJ3" s="37" t="s">
        <v>60</v>
      </c>
      <c r="BK3" s="37" t="s">
        <v>61</v>
      </c>
      <c r="BL3" s="37" t="s">
        <v>62</v>
      </c>
      <c r="BM3" s="37" t="s">
        <v>63</v>
      </c>
      <c r="BN3" s="37" t="s">
        <v>64</v>
      </c>
      <c r="BO3" s="37" t="s">
        <v>65</v>
      </c>
      <c r="BP3" s="37" t="s">
        <v>66</v>
      </c>
      <c r="BQ3" s="37" t="s">
        <v>67</v>
      </c>
      <c r="BR3" s="37" t="s">
        <v>68</v>
      </c>
      <c r="BS3" s="37" t="s">
        <v>69</v>
      </c>
      <c r="BT3" s="37" t="s">
        <v>70</v>
      </c>
      <c r="BU3" s="37" t="s">
        <v>71</v>
      </c>
      <c r="BV3" s="37" t="s">
        <v>571</v>
      </c>
      <c r="BW3" s="37" t="s">
        <v>73</v>
      </c>
      <c r="BX3" s="37" t="s">
        <v>74</v>
      </c>
      <c r="BY3" s="37" t="s">
        <v>75</v>
      </c>
      <c r="BZ3" s="37" t="s">
        <v>76</v>
      </c>
      <c r="CA3" s="39" t="s">
        <v>996</v>
      </c>
      <c r="CJ3" s="56" t="s">
        <v>1375</v>
      </c>
    </row>
    <row r="4" spans="1:167" x14ac:dyDescent="0.25">
      <c r="A4" s="57" t="s">
        <v>572</v>
      </c>
      <c r="B4" s="57" t="s">
        <v>573</v>
      </c>
      <c r="CK4" s="37" t="s">
        <v>1</v>
      </c>
      <c r="CL4" s="37" t="s">
        <v>2</v>
      </c>
      <c r="CM4" s="37" t="s">
        <v>3</v>
      </c>
      <c r="CN4" s="37" t="s">
        <v>4</v>
      </c>
      <c r="CO4" s="37" t="s">
        <v>5</v>
      </c>
      <c r="CP4" s="37" t="s">
        <v>6</v>
      </c>
      <c r="CQ4" s="37" t="s">
        <v>7</v>
      </c>
      <c r="CR4" s="37" t="s">
        <v>8</v>
      </c>
      <c r="CS4" s="37" t="s">
        <v>9</v>
      </c>
      <c r="CT4" s="37" t="s">
        <v>10</v>
      </c>
      <c r="CU4" s="37" t="s">
        <v>11</v>
      </c>
      <c r="CV4" s="37" t="s">
        <v>12</v>
      </c>
      <c r="CW4" s="37" t="s">
        <v>13</v>
      </c>
      <c r="CX4" s="37" t="s">
        <v>14</v>
      </c>
      <c r="CY4" s="37" t="s">
        <v>15</v>
      </c>
      <c r="CZ4" s="37" t="s">
        <v>16</v>
      </c>
      <c r="DA4" s="37" t="s">
        <v>17</v>
      </c>
      <c r="DB4" s="37" t="s">
        <v>18</v>
      </c>
      <c r="DC4" s="37" t="s">
        <v>19</v>
      </c>
      <c r="DD4" s="37" t="s">
        <v>20</v>
      </c>
      <c r="DE4" s="37" t="s">
        <v>21</v>
      </c>
      <c r="DF4" s="37" t="s">
        <v>22</v>
      </c>
      <c r="DG4" s="37" t="s">
        <v>23</v>
      </c>
      <c r="DH4" s="37" t="s">
        <v>24</v>
      </c>
      <c r="DI4" s="37" t="s">
        <v>25</v>
      </c>
      <c r="DJ4" s="37" t="s">
        <v>26</v>
      </c>
      <c r="DK4" s="37" t="s">
        <v>27</v>
      </c>
      <c r="DL4" s="37" t="s">
        <v>570</v>
      </c>
      <c r="DM4" s="37" t="s">
        <v>29</v>
      </c>
      <c r="DN4" s="37" t="s">
        <v>30</v>
      </c>
      <c r="DO4" s="37" t="s">
        <v>31</v>
      </c>
      <c r="DP4" s="37" t="s">
        <v>32</v>
      </c>
      <c r="DQ4" s="37" t="s">
        <v>33</v>
      </c>
      <c r="DR4" s="37" t="s">
        <v>34</v>
      </c>
      <c r="DS4" s="37" t="s">
        <v>35</v>
      </c>
      <c r="DT4" s="37" t="s">
        <v>36</v>
      </c>
      <c r="DU4" s="37" t="s">
        <v>37</v>
      </c>
      <c r="DV4" s="37" t="s">
        <v>38</v>
      </c>
      <c r="DW4" s="37" t="s">
        <v>39</v>
      </c>
      <c r="DX4" s="37" t="s">
        <v>40</v>
      </c>
      <c r="DY4" s="37" t="s">
        <v>41</v>
      </c>
      <c r="DZ4" s="37" t="s">
        <v>42</v>
      </c>
      <c r="EA4" s="37" t="s">
        <v>43</v>
      </c>
      <c r="EB4" s="37" t="s">
        <v>44</v>
      </c>
      <c r="EC4" s="37" t="s">
        <v>45</v>
      </c>
      <c r="ED4" s="37" t="s">
        <v>46</v>
      </c>
      <c r="EE4" s="37" t="s">
        <v>47</v>
      </c>
      <c r="EF4" s="37" t="s">
        <v>48</v>
      </c>
      <c r="EG4" s="37" t="s">
        <v>49</v>
      </c>
      <c r="EH4" s="37" t="s">
        <v>50</v>
      </c>
      <c r="EI4" s="37" t="s">
        <v>51</v>
      </c>
      <c r="EJ4" s="37" t="s">
        <v>52</v>
      </c>
      <c r="EK4" s="37" t="s">
        <v>53</v>
      </c>
      <c r="EL4" s="37" t="s">
        <v>54</v>
      </c>
      <c r="EM4" s="37" t="s">
        <v>55</v>
      </c>
      <c r="EN4" s="37" t="s">
        <v>56</v>
      </c>
      <c r="EO4" s="37" t="s">
        <v>57</v>
      </c>
      <c r="EP4" s="37" t="s">
        <v>58</v>
      </c>
      <c r="EQ4" s="37" t="s">
        <v>59</v>
      </c>
      <c r="ER4" s="37" t="s">
        <v>60</v>
      </c>
      <c r="ES4" s="37" t="s">
        <v>61</v>
      </c>
      <c r="ET4" s="37" t="s">
        <v>62</v>
      </c>
      <c r="EU4" s="37" t="s">
        <v>63</v>
      </c>
      <c r="EV4" s="37" t="s">
        <v>64</v>
      </c>
      <c r="EW4" s="37" t="s">
        <v>65</v>
      </c>
      <c r="EX4" s="37" t="s">
        <v>66</v>
      </c>
      <c r="EY4" s="37" t="s">
        <v>67</v>
      </c>
      <c r="EZ4" s="37" t="s">
        <v>68</v>
      </c>
      <c r="FA4" s="37" t="s">
        <v>69</v>
      </c>
      <c r="FB4" s="37" t="s">
        <v>70</v>
      </c>
      <c r="FC4" s="37" t="s">
        <v>71</v>
      </c>
      <c r="FD4" s="37" t="s">
        <v>571</v>
      </c>
      <c r="FE4" s="37" t="s">
        <v>73</v>
      </c>
      <c r="FF4" s="37" t="s">
        <v>74</v>
      </c>
      <c r="FG4" s="37" t="s">
        <v>75</v>
      </c>
      <c r="FH4" s="37" t="s">
        <v>76</v>
      </c>
      <c r="FI4" s="39" t="s">
        <v>996</v>
      </c>
    </row>
    <row r="5" spans="1:167" x14ac:dyDescent="0.25">
      <c r="A5" s="57" t="s">
        <v>574</v>
      </c>
      <c r="B5" s="57" t="s">
        <v>575</v>
      </c>
      <c r="CJ5" s="57" t="s">
        <v>573</v>
      </c>
      <c r="CK5" s="44">
        <f>SUM(C4:C65)</f>
        <v>21166815</v>
      </c>
      <c r="CL5" s="44">
        <f t="shared" ref="CL5:EW5" si="0">SUM(D4:D65)</f>
        <v>158735133</v>
      </c>
      <c r="CM5" s="44">
        <f t="shared" si="0"/>
        <v>9338939</v>
      </c>
      <c r="CN5" s="44">
        <f t="shared" si="0"/>
        <v>71209443</v>
      </c>
      <c r="CO5" s="44">
        <f t="shared" si="0"/>
        <v>25946228</v>
      </c>
      <c r="CP5" s="44">
        <f t="shared" si="0"/>
        <v>18831929</v>
      </c>
      <c r="CQ5" s="44">
        <f t="shared" si="0"/>
        <v>24444421</v>
      </c>
      <c r="CR5" s="44">
        <f t="shared" si="0"/>
        <v>89727137</v>
      </c>
      <c r="CS5" s="44">
        <f t="shared" si="0"/>
        <v>15882037</v>
      </c>
      <c r="CT5" s="44">
        <f t="shared" si="0"/>
        <v>16374434</v>
      </c>
      <c r="CU5" s="44">
        <f t="shared" si="0"/>
        <v>11492409</v>
      </c>
      <c r="CV5" s="44">
        <f t="shared" si="0"/>
        <v>218413721</v>
      </c>
      <c r="CW5" s="44">
        <f t="shared" si="0"/>
        <v>257990446</v>
      </c>
      <c r="CX5" s="44">
        <f t="shared" si="0"/>
        <v>12870397</v>
      </c>
      <c r="CY5" s="44">
        <f t="shared" si="0"/>
        <v>417631006</v>
      </c>
      <c r="CZ5" s="44">
        <f t="shared" si="0"/>
        <v>63856507</v>
      </c>
      <c r="DA5" s="44">
        <f t="shared" si="0"/>
        <v>34416205</v>
      </c>
      <c r="DB5" s="44">
        <f t="shared" si="0"/>
        <v>48239806</v>
      </c>
      <c r="DC5" s="44">
        <f t="shared" si="0"/>
        <v>0</v>
      </c>
      <c r="DD5" s="44">
        <f t="shared" si="0"/>
        <v>36512771</v>
      </c>
      <c r="DE5" s="44">
        <f t="shared" si="0"/>
        <v>82115699</v>
      </c>
      <c r="DF5" s="44">
        <f t="shared" si="0"/>
        <v>8606663</v>
      </c>
      <c r="DG5" s="44">
        <f t="shared" si="0"/>
        <v>20837569</v>
      </c>
      <c r="DH5" s="44">
        <f t="shared" si="0"/>
        <v>166502724</v>
      </c>
      <c r="DI5" s="44">
        <f t="shared" si="0"/>
        <v>18256384</v>
      </c>
      <c r="DJ5" s="44">
        <f t="shared" si="0"/>
        <v>26903274</v>
      </c>
      <c r="DK5" s="44">
        <f t="shared" si="0"/>
        <v>26826928</v>
      </c>
      <c r="DL5" s="44">
        <f t="shared" si="0"/>
        <v>136338249</v>
      </c>
      <c r="DM5" s="44">
        <f t="shared" si="0"/>
        <v>9116555</v>
      </c>
      <c r="DN5" s="44">
        <f t="shared" si="0"/>
        <v>24675389</v>
      </c>
      <c r="DO5" s="44">
        <f t="shared" si="0"/>
        <v>9432107</v>
      </c>
      <c r="DP5" s="44">
        <f t="shared" si="0"/>
        <v>66024135</v>
      </c>
      <c r="DQ5" s="44">
        <f t="shared" si="0"/>
        <v>546025152</v>
      </c>
      <c r="DR5" s="44">
        <f t="shared" si="0"/>
        <v>63698124</v>
      </c>
      <c r="DS5" s="44">
        <f t="shared" si="0"/>
        <v>7363149</v>
      </c>
      <c r="DT5" s="44">
        <f t="shared" si="0"/>
        <v>10678875</v>
      </c>
      <c r="DU5" s="44">
        <f t="shared" si="0"/>
        <v>18296994</v>
      </c>
      <c r="DV5" s="44">
        <f t="shared" si="0"/>
        <v>381530356</v>
      </c>
      <c r="DW5" s="44">
        <f t="shared" si="0"/>
        <v>0</v>
      </c>
      <c r="DX5" s="44">
        <f t="shared" si="0"/>
        <v>73323173</v>
      </c>
      <c r="DY5" s="44">
        <f t="shared" si="0"/>
        <v>101854601</v>
      </c>
      <c r="DZ5" s="44">
        <f t="shared" si="0"/>
        <v>43324981</v>
      </c>
      <c r="EA5" s="44">
        <f t="shared" si="0"/>
        <v>21250416</v>
      </c>
      <c r="EB5" s="44">
        <f t="shared" si="0"/>
        <v>12497115</v>
      </c>
      <c r="EC5" s="44">
        <f t="shared" si="0"/>
        <v>219009155</v>
      </c>
      <c r="ED5" s="44">
        <f t="shared" si="0"/>
        <v>64845157</v>
      </c>
      <c r="EE5" s="44">
        <f t="shared" si="0"/>
        <v>15362379</v>
      </c>
      <c r="EF5" s="44">
        <f t="shared" si="0"/>
        <v>26199100</v>
      </c>
      <c r="EG5" s="44">
        <f t="shared" si="0"/>
        <v>142072127</v>
      </c>
      <c r="EH5" s="44">
        <f t="shared" si="0"/>
        <v>7210042</v>
      </c>
      <c r="EI5" s="44">
        <f t="shared" si="0"/>
        <v>27204532</v>
      </c>
      <c r="EJ5" s="44">
        <f t="shared" si="0"/>
        <v>24951155</v>
      </c>
      <c r="EK5" s="44">
        <f t="shared" si="0"/>
        <v>45549764</v>
      </c>
      <c r="EL5" s="44">
        <f t="shared" si="0"/>
        <v>80303718</v>
      </c>
      <c r="EM5" s="44">
        <f t="shared" si="0"/>
        <v>83037399</v>
      </c>
      <c r="EN5" s="44">
        <f t="shared" si="0"/>
        <v>113320033</v>
      </c>
      <c r="EO5" s="44">
        <f t="shared" si="0"/>
        <v>226719242</v>
      </c>
      <c r="EP5" s="44">
        <f t="shared" si="0"/>
        <v>206239348</v>
      </c>
      <c r="EQ5" s="44">
        <f t="shared" si="0"/>
        <v>17106608</v>
      </c>
      <c r="ER5" s="44">
        <f t="shared" si="0"/>
        <v>36979110</v>
      </c>
      <c r="ES5" s="44">
        <f t="shared" si="0"/>
        <v>71589455</v>
      </c>
      <c r="ET5" s="44">
        <f t="shared" si="0"/>
        <v>20563116</v>
      </c>
      <c r="EU5" s="44">
        <f t="shared" si="0"/>
        <v>19158709</v>
      </c>
      <c r="EV5" s="44">
        <f t="shared" si="0"/>
        <v>76434322</v>
      </c>
      <c r="EW5" s="44">
        <f t="shared" si="0"/>
        <v>93872130</v>
      </c>
      <c r="EX5" s="44">
        <f t="shared" ref="EX5:FI5" si="1">SUM(BP4:BP65)</f>
        <v>79005320</v>
      </c>
      <c r="EY5" s="44">
        <f t="shared" si="1"/>
        <v>99148733</v>
      </c>
      <c r="EZ5" s="44">
        <f t="shared" si="1"/>
        <v>27763960</v>
      </c>
      <c r="FA5" s="44">
        <f t="shared" si="1"/>
        <v>29143382</v>
      </c>
      <c r="FB5" s="44">
        <f t="shared" si="1"/>
        <v>38812013</v>
      </c>
      <c r="FC5" s="44">
        <f t="shared" si="1"/>
        <v>69806330</v>
      </c>
      <c r="FD5" s="44">
        <f t="shared" si="1"/>
        <v>123628651</v>
      </c>
      <c r="FE5" s="44">
        <f t="shared" si="1"/>
        <v>129470422</v>
      </c>
      <c r="FF5" s="44">
        <f t="shared" si="1"/>
        <v>107548049</v>
      </c>
      <c r="FG5" s="44">
        <f t="shared" si="1"/>
        <v>122340952</v>
      </c>
      <c r="FH5" s="44">
        <f t="shared" si="1"/>
        <v>12094504</v>
      </c>
      <c r="FI5" s="44">
        <f t="shared" si="1"/>
        <v>5885047313</v>
      </c>
      <c r="FJ5" s="44"/>
      <c r="FK5" s="44"/>
    </row>
    <row r="6" spans="1:167" x14ac:dyDescent="0.25">
      <c r="A6" s="57" t="s">
        <v>576</v>
      </c>
      <c r="B6" s="57" t="s">
        <v>577</v>
      </c>
      <c r="C6" s="43">
        <v>1468854</v>
      </c>
      <c r="D6" s="43">
        <v>9809232</v>
      </c>
      <c r="E6" s="43">
        <v>402524</v>
      </c>
      <c r="F6" s="43">
        <v>4085276</v>
      </c>
      <c r="G6" s="43">
        <v>1329359</v>
      </c>
      <c r="H6" s="43">
        <v>1294696</v>
      </c>
      <c r="I6" s="43">
        <v>1331897</v>
      </c>
      <c r="J6" s="43">
        <v>4972780</v>
      </c>
      <c r="K6" s="43">
        <v>501074</v>
      </c>
      <c r="L6" s="43">
        <v>1225064</v>
      </c>
      <c r="M6" s="43">
        <v>2562637</v>
      </c>
      <c r="N6" s="43">
        <v>12392881</v>
      </c>
      <c r="O6" s="43">
        <v>16904846</v>
      </c>
      <c r="P6" s="43">
        <v>696322</v>
      </c>
      <c r="Q6" s="43">
        <v>32805680</v>
      </c>
      <c r="R6" s="43">
        <v>3245437</v>
      </c>
      <c r="S6" s="43">
        <v>1772302</v>
      </c>
      <c r="T6" s="43">
        <v>2315960</v>
      </c>
      <c r="V6" s="43">
        <v>1788621</v>
      </c>
      <c r="W6" s="43">
        <v>4080431</v>
      </c>
      <c r="X6" s="43">
        <v>510445</v>
      </c>
      <c r="Y6" s="43">
        <v>1291358</v>
      </c>
      <c r="Z6" s="43">
        <v>12301406</v>
      </c>
      <c r="AA6" s="43">
        <v>717471</v>
      </c>
      <c r="AB6" s="43">
        <v>1506738</v>
      </c>
      <c r="AC6" s="43">
        <v>1298495</v>
      </c>
      <c r="AD6" s="43">
        <v>6067880</v>
      </c>
      <c r="AE6" s="43">
        <v>89402</v>
      </c>
      <c r="AF6" s="43">
        <v>1407649</v>
      </c>
      <c r="AG6" s="43">
        <v>497871</v>
      </c>
      <c r="AH6" s="43">
        <v>3391400</v>
      </c>
      <c r="AI6" s="43">
        <v>34799382</v>
      </c>
      <c r="AJ6" s="43">
        <v>4370904</v>
      </c>
      <c r="AK6" s="43">
        <v>359378</v>
      </c>
      <c r="AL6" s="43">
        <v>489568</v>
      </c>
      <c r="AM6" s="44">
        <v>1262814</v>
      </c>
      <c r="AN6" s="43">
        <v>18079852</v>
      </c>
      <c r="AP6" s="43">
        <v>3679257</v>
      </c>
      <c r="AQ6" s="43">
        <v>6101093</v>
      </c>
      <c r="AR6" s="43">
        <v>1646489</v>
      </c>
      <c r="AS6" s="43">
        <v>1135755</v>
      </c>
      <c r="AT6" s="43">
        <v>887592</v>
      </c>
      <c r="AU6" s="43">
        <v>11514802</v>
      </c>
      <c r="AV6" s="43">
        <v>3471744</v>
      </c>
      <c r="AW6" s="43">
        <v>1140510</v>
      </c>
      <c r="AX6" s="43">
        <v>1499425</v>
      </c>
      <c r="AY6" s="43">
        <v>8264419</v>
      </c>
      <c r="AZ6" s="43">
        <v>332677</v>
      </c>
      <c r="BA6" s="43">
        <v>1199914</v>
      </c>
      <c r="BB6" s="43">
        <v>1422888</v>
      </c>
      <c r="BC6" s="43">
        <v>2392171</v>
      </c>
      <c r="BD6" s="43">
        <v>5477197</v>
      </c>
      <c r="BE6" s="43">
        <v>4300362</v>
      </c>
      <c r="BF6" s="43">
        <v>6330100</v>
      </c>
      <c r="BG6" s="43">
        <v>11630863</v>
      </c>
      <c r="BH6" s="43">
        <v>11099171</v>
      </c>
      <c r="BI6" s="43">
        <v>1251889</v>
      </c>
      <c r="BJ6" s="43">
        <v>2362349</v>
      </c>
      <c r="BK6" s="43">
        <v>5108172</v>
      </c>
      <c r="BL6" s="43">
        <v>1358197</v>
      </c>
      <c r="BM6" s="43">
        <v>1098752</v>
      </c>
      <c r="BN6" s="43">
        <v>5063543</v>
      </c>
      <c r="BO6" s="43">
        <v>5447325</v>
      </c>
      <c r="BP6" s="43">
        <v>3216351</v>
      </c>
      <c r="BQ6" s="43">
        <v>6476248</v>
      </c>
      <c r="BR6" s="43">
        <v>1711913</v>
      </c>
      <c r="BS6" s="43">
        <v>943120</v>
      </c>
      <c r="BT6" s="43">
        <v>2294559</v>
      </c>
      <c r="BU6" s="43">
        <v>4084385</v>
      </c>
      <c r="BV6" s="43">
        <v>6401915</v>
      </c>
      <c r="BW6" s="43">
        <v>8447295</v>
      </c>
      <c r="BX6" s="43">
        <v>8982692</v>
      </c>
      <c r="BY6" s="43">
        <v>5567617</v>
      </c>
      <c r="BZ6" s="43">
        <v>578465</v>
      </c>
      <c r="CA6" s="44">
        <f>SUM(C6:BZ6)</f>
        <v>347349102</v>
      </c>
      <c r="CJ6" s="58" t="s">
        <v>580</v>
      </c>
      <c r="CK6" s="43">
        <f>SUM(C69:C75)+C77+C78+C80+C97+C102+C104+C105+C106+C110+C111+C112+C113+C114+C115+C116+C123</f>
        <v>7080704</v>
      </c>
      <c r="CL6" s="43">
        <f t="shared" ref="CL6:EW6" si="2">SUM(D69:D75)+D77+D78+D80+D97+D102+D104+D105+D106+D110+D111+D112+D113+D114+D115+D116+D123</f>
        <v>40758599</v>
      </c>
      <c r="CM6" s="43">
        <f t="shared" si="2"/>
        <v>3548002</v>
      </c>
      <c r="CN6" s="43">
        <f t="shared" si="2"/>
        <v>15627485</v>
      </c>
      <c r="CO6" s="43">
        <f t="shared" si="2"/>
        <v>6491295</v>
      </c>
      <c r="CP6" s="43">
        <f t="shared" si="2"/>
        <v>5050490</v>
      </c>
      <c r="CQ6" s="43">
        <f t="shared" si="2"/>
        <v>5695832</v>
      </c>
      <c r="CR6" s="43">
        <f t="shared" si="2"/>
        <v>25777227</v>
      </c>
      <c r="CS6" s="43">
        <f t="shared" si="2"/>
        <v>3482042</v>
      </c>
      <c r="CT6" s="43">
        <f t="shared" si="2"/>
        <v>3592367</v>
      </c>
      <c r="CU6" s="43">
        <f t="shared" si="2"/>
        <v>3129290</v>
      </c>
      <c r="CV6" s="43">
        <f t="shared" si="2"/>
        <v>54347731</v>
      </c>
      <c r="CW6" s="43">
        <f t="shared" si="2"/>
        <v>65008814</v>
      </c>
      <c r="CX6" s="43">
        <f t="shared" si="2"/>
        <v>3445326</v>
      </c>
      <c r="CY6" s="43">
        <f t="shared" si="2"/>
        <v>137461132</v>
      </c>
      <c r="CZ6" s="43">
        <f t="shared" si="2"/>
        <v>12655481</v>
      </c>
      <c r="DA6" s="43">
        <f t="shared" si="2"/>
        <v>10719143</v>
      </c>
      <c r="DB6" s="43">
        <f t="shared" si="2"/>
        <v>13052615</v>
      </c>
      <c r="DC6" s="44">
        <f t="shared" si="2"/>
        <v>0</v>
      </c>
      <c r="DD6" s="43">
        <f t="shared" si="2"/>
        <v>10293172</v>
      </c>
      <c r="DE6" s="43">
        <f t="shared" si="2"/>
        <v>18602585</v>
      </c>
      <c r="DF6" s="43">
        <f t="shared" si="2"/>
        <v>2638528</v>
      </c>
      <c r="DG6" s="43">
        <f t="shared" si="2"/>
        <v>7633375</v>
      </c>
      <c r="DH6" s="43">
        <f t="shared" si="2"/>
        <v>37700154</v>
      </c>
      <c r="DI6" s="43">
        <f t="shared" si="2"/>
        <v>5919502</v>
      </c>
      <c r="DJ6" s="43">
        <f t="shared" si="2"/>
        <v>5679774</v>
      </c>
      <c r="DK6" s="43">
        <f t="shared" si="2"/>
        <v>7374578</v>
      </c>
      <c r="DL6" s="43">
        <f t="shared" si="2"/>
        <v>32241320</v>
      </c>
      <c r="DM6" s="43">
        <f t="shared" si="2"/>
        <v>2165423</v>
      </c>
      <c r="DN6" s="43">
        <f t="shared" si="2"/>
        <v>7597091</v>
      </c>
      <c r="DO6" s="43">
        <f t="shared" si="2"/>
        <v>2900572</v>
      </c>
      <c r="DP6" s="43">
        <f t="shared" si="2"/>
        <v>19985445</v>
      </c>
      <c r="DQ6" s="43">
        <f t="shared" si="2"/>
        <v>149639889</v>
      </c>
      <c r="DR6" s="43">
        <f t="shared" si="2"/>
        <v>18499571</v>
      </c>
      <c r="DS6" s="43">
        <f t="shared" si="2"/>
        <v>1935016</v>
      </c>
      <c r="DT6" s="43">
        <f t="shared" si="2"/>
        <v>2978508</v>
      </c>
      <c r="DU6" s="44">
        <f t="shared" si="2"/>
        <v>6110475</v>
      </c>
      <c r="DV6" s="43">
        <f t="shared" si="2"/>
        <v>77496983</v>
      </c>
      <c r="DW6" s="44">
        <f t="shared" si="2"/>
        <v>0</v>
      </c>
      <c r="DX6" s="43">
        <f t="shared" si="2"/>
        <v>15851057</v>
      </c>
      <c r="DY6" s="43">
        <f t="shared" si="2"/>
        <v>25024563</v>
      </c>
      <c r="DZ6" s="43">
        <f t="shared" si="2"/>
        <v>8661868</v>
      </c>
      <c r="EA6" s="43">
        <f t="shared" si="2"/>
        <v>6219425</v>
      </c>
      <c r="EB6" s="43">
        <f t="shared" si="2"/>
        <v>3278199</v>
      </c>
      <c r="EC6" s="43">
        <f t="shared" si="2"/>
        <v>54275751</v>
      </c>
      <c r="ED6" s="43">
        <f t="shared" si="2"/>
        <v>18642105</v>
      </c>
      <c r="EE6" s="43">
        <f t="shared" si="2"/>
        <v>4831011</v>
      </c>
      <c r="EF6" s="43">
        <f t="shared" si="2"/>
        <v>5456314</v>
      </c>
      <c r="EG6" s="43">
        <f t="shared" si="2"/>
        <v>35502314</v>
      </c>
      <c r="EH6" s="43">
        <f t="shared" si="2"/>
        <v>2183387</v>
      </c>
      <c r="EI6" s="43">
        <f t="shared" si="2"/>
        <v>9144230</v>
      </c>
      <c r="EJ6" s="43">
        <f t="shared" si="2"/>
        <v>7762875</v>
      </c>
      <c r="EK6" s="43">
        <f t="shared" si="2"/>
        <v>11037142</v>
      </c>
      <c r="EL6" s="43">
        <f t="shared" si="2"/>
        <v>20894110</v>
      </c>
      <c r="EM6" s="43">
        <f t="shared" si="2"/>
        <v>28151791</v>
      </c>
      <c r="EN6" s="43">
        <f t="shared" si="2"/>
        <v>27415296</v>
      </c>
      <c r="EO6" s="43">
        <f t="shared" si="2"/>
        <v>60004658</v>
      </c>
      <c r="EP6" s="43">
        <f t="shared" si="2"/>
        <v>56986851</v>
      </c>
      <c r="EQ6" s="43">
        <f t="shared" si="2"/>
        <v>4810124</v>
      </c>
      <c r="ER6" s="43">
        <f t="shared" si="2"/>
        <v>8662420</v>
      </c>
      <c r="ES6" s="43">
        <f t="shared" si="2"/>
        <v>18725574</v>
      </c>
      <c r="ET6" s="43">
        <f t="shared" si="2"/>
        <v>5959067</v>
      </c>
      <c r="EU6" s="43">
        <f t="shared" si="2"/>
        <v>4604523</v>
      </c>
      <c r="EV6" s="43">
        <f t="shared" si="2"/>
        <v>15904924</v>
      </c>
      <c r="EW6" s="43">
        <f t="shared" si="2"/>
        <v>19246319</v>
      </c>
      <c r="EX6" s="43">
        <f t="shared" ref="EX6:FI6" si="3">SUM(BP69:BP75)+BP77+BP78+BP80+BP97+BP102+BP104+BP105+BP106+BP110+BP111+BP112+BP113+BP114+BP115+BP116+BP123</f>
        <v>16232004</v>
      </c>
      <c r="EY6" s="43">
        <f t="shared" si="3"/>
        <v>32832004</v>
      </c>
      <c r="EZ6" s="43">
        <f t="shared" si="3"/>
        <v>5507720</v>
      </c>
      <c r="FA6" s="43">
        <f t="shared" si="3"/>
        <v>6032078</v>
      </c>
      <c r="FB6" s="43">
        <f t="shared" si="3"/>
        <v>9036110</v>
      </c>
      <c r="FC6" s="43">
        <f t="shared" si="3"/>
        <v>14558641</v>
      </c>
      <c r="FD6" s="43">
        <f t="shared" si="3"/>
        <v>34362447</v>
      </c>
      <c r="FE6" s="43">
        <f t="shared" si="3"/>
        <v>30386658</v>
      </c>
      <c r="FF6" s="43">
        <f t="shared" si="3"/>
        <v>26314148</v>
      </c>
      <c r="FG6" s="43">
        <f t="shared" si="3"/>
        <v>25784139</v>
      </c>
      <c r="FH6" s="43">
        <f t="shared" si="3"/>
        <v>1931598</v>
      </c>
      <c r="FI6" s="43">
        <f t="shared" si="3"/>
        <v>1516528981</v>
      </c>
    </row>
    <row r="7" spans="1:167" x14ac:dyDescent="0.25">
      <c r="A7" s="57" t="s">
        <v>578</v>
      </c>
      <c r="B7" s="57" t="s">
        <v>579</v>
      </c>
      <c r="C7" s="43">
        <v>3437778</v>
      </c>
      <c r="D7" s="43">
        <v>30669731</v>
      </c>
      <c r="E7" s="43">
        <v>1474958</v>
      </c>
      <c r="F7" s="43">
        <v>13957023</v>
      </c>
      <c r="G7" s="43">
        <v>4927461</v>
      </c>
      <c r="H7" s="43">
        <v>3205794</v>
      </c>
      <c r="I7" s="43">
        <v>6119211</v>
      </c>
      <c r="J7" s="43">
        <v>16708341</v>
      </c>
      <c r="K7" s="43">
        <v>2470906</v>
      </c>
      <c r="L7" s="43">
        <v>2690539</v>
      </c>
      <c r="M7" s="43">
        <v>961770</v>
      </c>
      <c r="N7" s="43">
        <v>40701329</v>
      </c>
      <c r="O7" s="43">
        <v>47122177</v>
      </c>
      <c r="P7" s="43">
        <v>1440364</v>
      </c>
      <c r="Q7" s="43">
        <v>64110829</v>
      </c>
      <c r="R7" s="43">
        <v>6058132</v>
      </c>
      <c r="S7" s="43">
        <v>5616956</v>
      </c>
      <c r="T7" s="43">
        <v>7562167</v>
      </c>
      <c r="V7" s="43">
        <v>6561582</v>
      </c>
      <c r="W7" s="43">
        <v>14114036</v>
      </c>
      <c r="X7" s="43">
        <v>2103032</v>
      </c>
      <c r="Y7" s="43">
        <v>4333396</v>
      </c>
      <c r="Z7" s="43">
        <v>37421144</v>
      </c>
      <c r="AA7" s="43">
        <v>3567974</v>
      </c>
      <c r="AB7" s="43">
        <v>3702155</v>
      </c>
      <c r="AC7" s="43">
        <v>2681910</v>
      </c>
      <c r="AD7" s="43">
        <v>17669696</v>
      </c>
      <c r="AE7" s="43">
        <v>644466</v>
      </c>
      <c r="AF7" s="43">
        <v>3544034</v>
      </c>
      <c r="AG7" s="43">
        <v>1626717</v>
      </c>
      <c r="AH7" s="43">
        <v>12605779</v>
      </c>
      <c r="AI7" s="43">
        <v>120261308</v>
      </c>
      <c r="AJ7" s="43">
        <v>14146099</v>
      </c>
      <c r="AK7" s="43">
        <v>1490827</v>
      </c>
      <c r="AL7" s="43">
        <v>2185777</v>
      </c>
      <c r="AM7" s="44">
        <v>2944501</v>
      </c>
      <c r="AN7" s="43">
        <v>60923661</v>
      </c>
      <c r="AP7" s="43">
        <v>12104883</v>
      </c>
      <c r="AQ7" s="43">
        <v>16690243</v>
      </c>
      <c r="AR7" s="43">
        <v>10607687</v>
      </c>
      <c r="AS7" s="43">
        <v>3020387</v>
      </c>
      <c r="AT7" s="43">
        <v>2001475</v>
      </c>
      <c r="AU7" s="43">
        <v>33392525</v>
      </c>
      <c r="AV7" s="43">
        <v>10515520</v>
      </c>
      <c r="AW7" s="43">
        <v>2359831</v>
      </c>
      <c r="AX7" s="43">
        <v>5314906</v>
      </c>
      <c r="AY7" s="43">
        <v>25877382</v>
      </c>
      <c r="AZ7" s="43">
        <v>1606502</v>
      </c>
      <c r="BA7" s="43">
        <v>4700085</v>
      </c>
      <c r="BB7" s="43">
        <v>4296725</v>
      </c>
      <c r="BC7" s="43">
        <v>10416542</v>
      </c>
      <c r="BD7" s="43">
        <v>16250643</v>
      </c>
      <c r="BE7" s="43">
        <v>11823283</v>
      </c>
      <c r="BF7" s="43">
        <v>20487162</v>
      </c>
      <c r="BG7" s="43">
        <v>42633704</v>
      </c>
      <c r="BH7" s="43">
        <v>45315631</v>
      </c>
      <c r="BI7" s="43">
        <v>3954759</v>
      </c>
      <c r="BJ7" s="43">
        <v>6911986</v>
      </c>
      <c r="BK7" s="43">
        <v>13915933</v>
      </c>
      <c r="BL7" s="43">
        <v>4568996</v>
      </c>
      <c r="BM7" s="43">
        <v>2968332</v>
      </c>
      <c r="BN7" s="43">
        <v>16910201</v>
      </c>
      <c r="BO7" s="43">
        <v>17435241</v>
      </c>
      <c r="BP7" s="43">
        <v>14702582</v>
      </c>
      <c r="BQ7" s="43">
        <v>18860536</v>
      </c>
      <c r="BR7" s="43">
        <v>4793800</v>
      </c>
      <c r="BS7" s="43">
        <v>3197893</v>
      </c>
      <c r="BT7" s="43">
        <v>7292450</v>
      </c>
      <c r="BU7" s="43">
        <v>14728750</v>
      </c>
      <c r="BV7" s="43">
        <v>27129284</v>
      </c>
      <c r="BW7" s="43">
        <v>20473894</v>
      </c>
      <c r="BX7" s="43">
        <v>17221887</v>
      </c>
      <c r="BY7" s="43">
        <v>16930373</v>
      </c>
      <c r="BZ7" s="43">
        <v>2290501</v>
      </c>
      <c r="CA7" s="44">
        <f t="shared" ref="CA7:CA70" si="4">SUM(C7:BZ7)</f>
        <v>1065466074</v>
      </c>
      <c r="CJ7" s="52" t="s">
        <v>583</v>
      </c>
      <c r="CK7" s="43">
        <f>SUM(C86:C87)+SUM(C89:C93)+SUM(C99:C101)+C120</f>
        <v>10547066</v>
      </c>
      <c r="CL7" s="43">
        <f t="shared" ref="CL7:EW7" si="5">SUM(D86:D87)+SUM(D89:D93)+SUM(D99:D101)+D120</f>
        <v>52809675</v>
      </c>
      <c r="CM7" s="43">
        <f t="shared" si="5"/>
        <v>5375013</v>
      </c>
      <c r="CN7" s="43">
        <f t="shared" si="5"/>
        <v>23293955</v>
      </c>
      <c r="CO7" s="43">
        <f t="shared" si="5"/>
        <v>10122934</v>
      </c>
      <c r="CP7" s="43">
        <f t="shared" si="5"/>
        <v>7779282</v>
      </c>
      <c r="CQ7" s="43">
        <f t="shared" si="5"/>
        <v>10727172</v>
      </c>
      <c r="CR7" s="43">
        <f t="shared" si="5"/>
        <v>57612992</v>
      </c>
      <c r="CS7" s="43">
        <f t="shared" si="5"/>
        <v>9967963</v>
      </c>
      <c r="CT7" s="43">
        <f t="shared" si="5"/>
        <v>8326062</v>
      </c>
      <c r="CU7" s="43">
        <f t="shared" si="5"/>
        <v>6644352</v>
      </c>
      <c r="CV7" s="43">
        <f t="shared" si="5"/>
        <v>68105604</v>
      </c>
      <c r="CW7" s="43">
        <f t="shared" si="5"/>
        <v>120383734</v>
      </c>
      <c r="CX7" s="43">
        <f t="shared" si="5"/>
        <v>6162220</v>
      </c>
      <c r="CY7" s="43">
        <f t="shared" si="5"/>
        <v>203615179</v>
      </c>
      <c r="CZ7" s="43">
        <f t="shared" si="5"/>
        <v>25542259</v>
      </c>
      <c r="DA7" s="43">
        <f t="shared" si="5"/>
        <v>22507735</v>
      </c>
      <c r="DB7" s="43">
        <f t="shared" si="5"/>
        <v>25250561</v>
      </c>
      <c r="DC7" s="44">
        <f t="shared" si="5"/>
        <v>0</v>
      </c>
      <c r="DD7" s="43">
        <f t="shared" si="5"/>
        <v>19297247</v>
      </c>
      <c r="DE7" s="43">
        <f t="shared" si="5"/>
        <v>44696584</v>
      </c>
      <c r="DF7" s="43">
        <f t="shared" si="5"/>
        <v>3440768</v>
      </c>
      <c r="DG7" s="43">
        <f t="shared" si="5"/>
        <v>12861930</v>
      </c>
      <c r="DH7" s="43">
        <f t="shared" si="5"/>
        <v>67020532</v>
      </c>
      <c r="DI7" s="43">
        <f t="shared" si="5"/>
        <v>11421510</v>
      </c>
      <c r="DJ7" s="43">
        <f t="shared" si="5"/>
        <v>12717597</v>
      </c>
      <c r="DK7" s="43">
        <f t="shared" si="5"/>
        <v>12863480</v>
      </c>
      <c r="DL7" s="43">
        <f t="shared" si="5"/>
        <v>45650592</v>
      </c>
      <c r="DM7" s="43">
        <f t="shared" si="5"/>
        <v>3329833</v>
      </c>
      <c r="DN7" s="43">
        <f t="shared" si="5"/>
        <v>8885042</v>
      </c>
      <c r="DO7" s="43">
        <f t="shared" si="5"/>
        <v>3933778</v>
      </c>
      <c r="DP7" s="43">
        <f t="shared" si="5"/>
        <v>31402858</v>
      </c>
      <c r="DQ7" s="43">
        <f t="shared" si="5"/>
        <v>207522802</v>
      </c>
      <c r="DR7" s="43">
        <f t="shared" si="5"/>
        <v>26394174</v>
      </c>
      <c r="DS7" s="43">
        <f t="shared" si="5"/>
        <v>3407215</v>
      </c>
      <c r="DT7" s="43">
        <f t="shared" si="5"/>
        <v>5426766</v>
      </c>
      <c r="DU7" s="44">
        <f t="shared" si="5"/>
        <v>10384271</v>
      </c>
      <c r="DV7" s="43">
        <f t="shared" si="5"/>
        <v>175681221</v>
      </c>
      <c r="DW7" s="44">
        <f t="shared" si="5"/>
        <v>0</v>
      </c>
      <c r="DX7" s="43">
        <f t="shared" si="5"/>
        <v>42788096</v>
      </c>
      <c r="DY7" s="43">
        <f t="shared" si="5"/>
        <v>40313503</v>
      </c>
      <c r="DZ7" s="43">
        <f t="shared" si="5"/>
        <v>17133441</v>
      </c>
      <c r="EA7" s="43">
        <f t="shared" si="5"/>
        <v>11828447</v>
      </c>
      <c r="EB7" s="43">
        <f t="shared" si="5"/>
        <v>6114390</v>
      </c>
      <c r="EC7" s="43">
        <f t="shared" si="5"/>
        <v>85857328</v>
      </c>
      <c r="ED7" s="43">
        <f t="shared" si="5"/>
        <v>30943022</v>
      </c>
      <c r="EE7" s="43">
        <f t="shared" si="5"/>
        <v>9224518</v>
      </c>
      <c r="EF7" s="43">
        <f t="shared" si="5"/>
        <v>15394655</v>
      </c>
      <c r="EG7" s="43">
        <f t="shared" si="5"/>
        <v>60021344</v>
      </c>
      <c r="EH7" s="43">
        <f t="shared" si="5"/>
        <v>3913891</v>
      </c>
      <c r="EI7" s="43">
        <f t="shared" si="5"/>
        <v>17393946</v>
      </c>
      <c r="EJ7" s="43">
        <f t="shared" si="5"/>
        <v>15063052</v>
      </c>
      <c r="EK7" s="43">
        <f t="shared" si="5"/>
        <v>23815715</v>
      </c>
      <c r="EL7" s="43">
        <f t="shared" si="5"/>
        <v>30871113</v>
      </c>
      <c r="EM7" s="43">
        <f t="shared" si="5"/>
        <v>53672232</v>
      </c>
      <c r="EN7" s="43">
        <f t="shared" si="5"/>
        <v>38683206</v>
      </c>
      <c r="EO7" s="43">
        <f t="shared" si="5"/>
        <v>94935933</v>
      </c>
      <c r="EP7" s="43">
        <f t="shared" si="5"/>
        <v>92281170</v>
      </c>
      <c r="EQ7" s="43">
        <f t="shared" si="5"/>
        <v>6953582</v>
      </c>
      <c r="ER7" s="43">
        <f t="shared" si="5"/>
        <v>16121225</v>
      </c>
      <c r="ES7" s="43">
        <f t="shared" si="5"/>
        <v>27763907</v>
      </c>
      <c r="ET7" s="43">
        <f t="shared" si="5"/>
        <v>10674387</v>
      </c>
      <c r="EU7" s="43">
        <f t="shared" si="5"/>
        <v>7032982</v>
      </c>
      <c r="EV7" s="43">
        <f t="shared" si="5"/>
        <v>23812135</v>
      </c>
      <c r="EW7" s="43">
        <f t="shared" si="5"/>
        <v>38285218</v>
      </c>
      <c r="EX7" s="43">
        <f t="shared" ref="EX7:FI7" si="6">SUM(BP86:BP87)+SUM(BP89:BP93)+SUM(BP99:BP101)+BP120</f>
        <v>28759714</v>
      </c>
      <c r="EY7" s="43">
        <f t="shared" si="6"/>
        <v>44273008</v>
      </c>
      <c r="EZ7" s="43">
        <f t="shared" si="6"/>
        <v>10616153</v>
      </c>
      <c r="FA7" s="43">
        <f t="shared" si="6"/>
        <v>23336152</v>
      </c>
      <c r="FB7" s="43">
        <f t="shared" si="6"/>
        <v>17026104</v>
      </c>
      <c r="FC7" s="43">
        <f t="shared" si="6"/>
        <v>29655063</v>
      </c>
      <c r="FD7" s="43">
        <f t="shared" si="6"/>
        <v>52839865</v>
      </c>
      <c r="FE7" s="43">
        <f t="shared" si="6"/>
        <v>45009166</v>
      </c>
      <c r="FF7" s="43">
        <f t="shared" si="6"/>
        <v>41564229</v>
      </c>
      <c r="FG7" s="43">
        <f t="shared" si="6"/>
        <v>23553189</v>
      </c>
      <c r="FH7" s="43">
        <f t="shared" si="6"/>
        <v>3661554</v>
      </c>
      <c r="FI7" s="43">
        <f t="shared" si="6"/>
        <v>2522298593</v>
      </c>
    </row>
    <row r="8" spans="1:167" x14ac:dyDescent="0.25">
      <c r="A8" s="57" t="s">
        <v>581</v>
      </c>
      <c r="B8" s="57" t="s">
        <v>582</v>
      </c>
      <c r="C8" s="43">
        <v>6360710</v>
      </c>
      <c r="D8" s="43">
        <v>45475650</v>
      </c>
      <c r="E8" s="43">
        <v>2101345</v>
      </c>
      <c r="F8" s="43">
        <v>19142017</v>
      </c>
      <c r="G8" s="43">
        <v>7594149</v>
      </c>
      <c r="H8" s="43">
        <v>6034985</v>
      </c>
      <c r="I8" s="43">
        <v>7115709</v>
      </c>
      <c r="J8" s="43">
        <v>28594892</v>
      </c>
      <c r="K8" s="43">
        <v>3674449</v>
      </c>
      <c r="L8" s="43">
        <v>4723707</v>
      </c>
      <c r="M8" s="43">
        <v>2757866</v>
      </c>
      <c r="N8" s="43">
        <v>60619174</v>
      </c>
      <c r="O8" s="43">
        <v>72980190</v>
      </c>
      <c r="P8" s="43">
        <v>3165059</v>
      </c>
      <c r="Q8" s="43">
        <v>119260237</v>
      </c>
      <c r="R8" s="43">
        <v>23227839</v>
      </c>
      <c r="S8" s="43">
        <v>11283784</v>
      </c>
      <c r="T8" s="43">
        <v>15705010</v>
      </c>
      <c r="V8" s="43">
        <v>7536334</v>
      </c>
      <c r="W8" s="43">
        <v>21427450</v>
      </c>
      <c r="X8" s="43">
        <v>2224466</v>
      </c>
      <c r="Y8" s="43">
        <v>5865882</v>
      </c>
      <c r="Z8" s="43">
        <v>45676389</v>
      </c>
      <c r="AA8" s="43">
        <v>5180409</v>
      </c>
      <c r="AB8" s="43">
        <v>9224324</v>
      </c>
      <c r="AC8" s="43">
        <v>10141171</v>
      </c>
      <c r="AD8" s="43">
        <v>54440038</v>
      </c>
      <c r="AE8" s="43">
        <v>2652323</v>
      </c>
      <c r="AF8" s="43">
        <v>8574238</v>
      </c>
      <c r="AG8" s="43">
        <v>2464283</v>
      </c>
      <c r="AH8" s="43">
        <v>15656048</v>
      </c>
      <c r="AI8" s="43">
        <v>137816936</v>
      </c>
      <c r="AJ8" s="43">
        <v>18957150</v>
      </c>
      <c r="AK8" s="43">
        <v>2156358</v>
      </c>
      <c r="AL8" s="43">
        <v>3013881</v>
      </c>
      <c r="AM8" s="44">
        <v>5795537</v>
      </c>
      <c r="AN8" s="43">
        <v>102696389</v>
      </c>
      <c r="AP8" s="43">
        <v>23929663</v>
      </c>
      <c r="AQ8" s="43">
        <v>31101536</v>
      </c>
      <c r="AR8" s="43">
        <v>12688843</v>
      </c>
      <c r="AS8" s="43">
        <v>6243024</v>
      </c>
      <c r="AT8" s="43">
        <v>2693570</v>
      </c>
      <c r="AU8" s="43">
        <v>59274155</v>
      </c>
      <c r="AV8" s="43">
        <v>19285685</v>
      </c>
      <c r="AW8" s="43">
        <v>4035012</v>
      </c>
      <c r="AX8" s="43">
        <v>6329447</v>
      </c>
      <c r="AY8" s="43">
        <v>38653860</v>
      </c>
      <c r="AZ8" s="43">
        <v>1839724</v>
      </c>
      <c r="BA8" s="43">
        <v>7833615</v>
      </c>
      <c r="BB8" s="43">
        <v>7557293</v>
      </c>
      <c r="BC8" s="43">
        <v>13664989</v>
      </c>
      <c r="BD8" s="43">
        <v>21053904</v>
      </c>
      <c r="BE8" s="43">
        <v>24573679</v>
      </c>
      <c r="BF8" s="43">
        <v>35372349</v>
      </c>
      <c r="BG8" s="43">
        <v>58921741</v>
      </c>
      <c r="BH8" s="43">
        <v>51773872</v>
      </c>
      <c r="BI8" s="43">
        <v>4371348</v>
      </c>
      <c r="BJ8" s="43">
        <v>11394038</v>
      </c>
      <c r="BK8" s="43">
        <v>22462361</v>
      </c>
      <c r="BL8" s="43">
        <v>6314375</v>
      </c>
      <c r="BM8" s="43">
        <v>5798391</v>
      </c>
      <c r="BN8" s="43">
        <v>24708564</v>
      </c>
      <c r="BO8" s="43">
        <v>24912276</v>
      </c>
      <c r="BP8" s="43">
        <v>19229452</v>
      </c>
      <c r="BQ8" s="43">
        <v>25682856</v>
      </c>
      <c r="BR8" s="43">
        <v>9377613</v>
      </c>
      <c r="BS8" s="43">
        <v>11786685</v>
      </c>
      <c r="BT8" s="43">
        <v>10012173</v>
      </c>
      <c r="BU8" s="43">
        <v>20593184</v>
      </c>
      <c r="BV8" s="43">
        <v>35701047</v>
      </c>
      <c r="BW8" s="43">
        <v>44157976</v>
      </c>
      <c r="BX8" s="43">
        <v>36115583</v>
      </c>
      <c r="BY8" s="43">
        <v>35731496</v>
      </c>
      <c r="BZ8" s="43">
        <v>2086946</v>
      </c>
      <c r="CA8" s="44">
        <f t="shared" si="4"/>
        <v>1678578703</v>
      </c>
      <c r="CJ8" s="59" t="s">
        <v>586</v>
      </c>
      <c r="CK8" s="43">
        <f>C79+C82+C83+C84+C94+C96+C98</f>
        <v>3211727</v>
      </c>
      <c r="CL8" s="43">
        <f t="shared" ref="CL8:EW8" si="7">D79+D82+D83+D84+D94+D96+D98</f>
        <v>24150688</v>
      </c>
      <c r="CM8" s="43">
        <f t="shared" si="7"/>
        <v>2605673</v>
      </c>
      <c r="CN8" s="43">
        <f t="shared" si="7"/>
        <v>8690132</v>
      </c>
      <c r="CO8" s="43">
        <f t="shared" si="7"/>
        <v>3511965</v>
      </c>
      <c r="CP8" s="43">
        <f t="shared" si="7"/>
        <v>3898889</v>
      </c>
      <c r="CQ8" s="43">
        <f t="shared" si="7"/>
        <v>4325438</v>
      </c>
      <c r="CR8" s="43">
        <f t="shared" si="7"/>
        <v>13095719</v>
      </c>
      <c r="CS8" s="43">
        <f t="shared" si="7"/>
        <v>3528689</v>
      </c>
      <c r="CT8" s="43">
        <f t="shared" si="7"/>
        <v>2387272</v>
      </c>
      <c r="CU8" s="43">
        <f t="shared" si="7"/>
        <v>2167589</v>
      </c>
      <c r="CV8" s="43">
        <f t="shared" si="7"/>
        <v>26886657</v>
      </c>
      <c r="CW8" s="43">
        <f t="shared" si="7"/>
        <v>36201030</v>
      </c>
      <c r="CX8" s="43">
        <f t="shared" si="7"/>
        <v>2509386</v>
      </c>
      <c r="CY8" s="43">
        <f t="shared" si="7"/>
        <v>85802216</v>
      </c>
      <c r="CZ8" s="43">
        <f t="shared" si="7"/>
        <v>8642664</v>
      </c>
      <c r="DA8" s="43">
        <f t="shared" si="7"/>
        <v>8093903</v>
      </c>
      <c r="DB8" s="43">
        <f t="shared" si="7"/>
        <v>8033542</v>
      </c>
      <c r="DC8" s="44">
        <f t="shared" si="7"/>
        <v>0</v>
      </c>
      <c r="DD8" s="43">
        <f t="shared" si="7"/>
        <v>7268060</v>
      </c>
      <c r="DE8" s="43">
        <f t="shared" si="7"/>
        <v>12947738</v>
      </c>
      <c r="DF8" s="43">
        <f t="shared" si="7"/>
        <v>1667677</v>
      </c>
      <c r="DG8" s="43">
        <f t="shared" si="7"/>
        <v>4751417</v>
      </c>
      <c r="DH8" s="43">
        <f t="shared" si="7"/>
        <v>22962151</v>
      </c>
      <c r="DI8" s="43">
        <f t="shared" si="7"/>
        <v>3559574</v>
      </c>
      <c r="DJ8" s="43">
        <f t="shared" si="7"/>
        <v>4752693</v>
      </c>
      <c r="DK8" s="43">
        <f t="shared" si="7"/>
        <v>4968517</v>
      </c>
      <c r="DL8" s="43">
        <f t="shared" si="7"/>
        <v>17667797</v>
      </c>
      <c r="DM8" s="43">
        <f t="shared" si="7"/>
        <v>1436017</v>
      </c>
      <c r="DN8" s="43">
        <f t="shared" si="7"/>
        <v>5413142</v>
      </c>
      <c r="DO8" s="43">
        <f t="shared" si="7"/>
        <v>1565995</v>
      </c>
      <c r="DP8" s="43">
        <f t="shared" si="7"/>
        <v>12567208</v>
      </c>
      <c r="DQ8" s="43">
        <f t="shared" si="7"/>
        <v>71726043</v>
      </c>
      <c r="DR8" s="43">
        <f t="shared" si="7"/>
        <v>9819116</v>
      </c>
      <c r="DS8" s="43">
        <f t="shared" si="7"/>
        <v>1004845</v>
      </c>
      <c r="DT8" s="43">
        <f t="shared" si="7"/>
        <v>2157822</v>
      </c>
      <c r="DU8" s="44">
        <f t="shared" si="7"/>
        <v>4471141</v>
      </c>
      <c r="DV8" s="43">
        <f t="shared" si="7"/>
        <v>42372484</v>
      </c>
      <c r="DW8" s="44">
        <f t="shared" si="7"/>
        <v>0</v>
      </c>
      <c r="DX8" s="43">
        <f t="shared" si="7"/>
        <v>11626320</v>
      </c>
      <c r="DY8" s="43">
        <f t="shared" si="7"/>
        <v>22832726</v>
      </c>
      <c r="DZ8" s="43">
        <f t="shared" si="7"/>
        <v>6608034</v>
      </c>
      <c r="EA8" s="43">
        <f t="shared" si="7"/>
        <v>3816649</v>
      </c>
      <c r="EB8" s="43">
        <f t="shared" si="7"/>
        <v>4021431</v>
      </c>
      <c r="EC8" s="43">
        <f t="shared" si="7"/>
        <v>22463725</v>
      </c>
      <c r="ED8" s="43">
        <f t="shared" si="7"/>
        <v>10773873</v>
      </c>
      <c r="EE8" s="43">
        <f t="shared" si="7"/>
        <v>3344731</v>
      </c>
      <c r="EF8" s="43">
        <f t="shared" si="7"/>
        <v>4063350</v>
      </c>
      <c r="EG8" s="43">
        <f t="shared" si="7"/>
        <v>23147710</v>
      </c>
      <c r="EH8" s="43">
        <f t="shared" si="7"/>
        <v>1523808</v>
      </c>
      <c r="EI8" s="43">
        <f t="shared" si="7"/>
        <v>5240315</v>
      </c>
      <c r="EJ8" s="43">
        <f t="shared" si="7"/>
        <v>7302154</v>
      </c>
      <c r="EK8" s="43">
        <f t="shared" si="7"/>
        <v>7933472</v>
      </c>
      <c r="EL8" s="43">
        <f t="shared" si="7"/>
        <v>12568233</v>
      </c>
      <c r="EM8" s="43">
        <f t="shared" si="7"/>
        <v>18458332</v>
      </c>
      <c r="EN8" s="43">
        <f t="shared" si="7"/>
        <v>15151321</v>
      </c>
      <c r="EO8" s="43">
        <f t="shared" si="7"/>
        <v>39018553</v>
      </c>
      <c r="EP8" s="43">
        <f t="shared" si="7"/>
        <v>43576595</v>
      </c>
      <c r="EQ8" s="43">
        <f t="shared" si="7"/>
        <v>3231792</v>
      </c>
      <c r="ER8" s="43">
        <f t="shared" si="7"/>
        <v>5466470</v>
      </c>
      <c r="ES8" s="43">
        <f t="shared" si="7"/>
        <v>9969422</v>
      </c>
      <c r="ET8" s="43">
        <f t="shared" si="7"/>
        <v>3600580</v>
      </c>
      <c r="EU8" s="43">
        <f t="shared" si="7"/>
        <v>3340746</v>
      </c>
      <c r="EV8" s="43">
        <f t="shared" si="7"/>
        <v>9401978</v>
      </c>
      <c r="EW8" s="43">
        <f t="shared" si="7"/>
        <v>10862221</v>
      </c>
      <c r="EX8" s="43">
        <f t="shared" ref="EX8:FI8" si="8">BP79+BP82+BP83+BP84+BP94+BP96+BP98</f>
        <v>9671261</v>
      </c>
      <c r="EY8" s="43">
        <f t="shared" si="8"/>
        <v>15279588</v>
      </c>
      <c r="EZ8" s="43">
        <f t="shared" si="8"/>
        <v>4511239</v>
      </c>
      <c r="FA8" s="43">
        <f t="shared" si="8"/>
        <v>5665655</v>
      </c>
      <c r="FB8" s="43">
        <f t="shared" si="8"/>
        <v>5891982</v>
      </c>
      <c r="FC8" s="43">
        <f t="shared" si="8"/>
        <v>9330388</v>
      </c>
      <c r="FD8" s="43">
        <f t="shared" si="8"/>
        <v>19588469</v>
      </c>
      <c r="FE8" s="43">
        <f t="shared" si="8"/>
        <v>16070838</v>
      </c>
      <c r="FF8" s="43">
        <f t="shared" si="8"/>
        <v>33624270</v>
      </c>
      <c r="FG8" s="43">
        <f t="shared" si="8"/>
        <v>45450302</v>
      </c>
      <c r="FH8" s="43">
        <f t="shared" si="8"/>
        <v>4358409</v>
      </c>
      <c r="FI8" s="43">
        <f t="shared" si="8"/>
        <v>959609558</v>
      </c>
    </row>
    <row r="9" spans="1:167" x14ac:dyDescent="0.25">
      <c r="A9" s="57" t="s">
        <v>584</v>
      </c>
      <c r="B9" s="57" t="s">
        <v>585</v>
      </c>
      <c r="C9" s="43">
        <v>4362561</v>
      </c>
      <c r="D9" s="43">
        <v>33697681</v>
      </c>
      <c r="E9" s="43">
        <v>2206608</v>
      </c>
      <c r="F9" s="43">
        <v>14256917</v>
      </c>
      <c r="G9" s="43">
        <v>4932671</v>
      </c>
      <c r="H9" s="43">
        <v>3379828</v>
      </c>
      <c r="I9" s="43">
        <v>4634482</v>
      </c>
      <c r="J9" s="43">
        <v>17998701</v>
      </c>
      <c r="K9" s="43">
        <v>2892526</v>
      </c>
      <c r="L9" s="43">
        <v>2760631</v>
      </c>
      <c r="M9" s="43">
        <v>1919152</v>
      </c>
      <c r="N9" s="43">
        <v>40442489</v>
      </c>
      <c r="O9" s="43">
        <v>52944504</v>
      </c>
      <c r="P9" s="43">
        <v>2148745</v>
      </c>
      <c r="Q9" s="43">
        <v>67302678</v>
      </c>
      <c r="R9" s="43">
        <v>14609568</v>
      </c>
      <c r="S9" s="43">
        <v>7317614</v>
      </c>
      <c r="T9" s="43">
        <v>9852052</v>
      </c>
      <c r="V9" s="43">
        <v>5027632</v>
      </c>
      <c r="W9" s="43">
        <v>22254261</v>
      </c>
      <c r="X9" s="43">
        <v>1602669</v>
      </c>
      <c r="Y9" s="43">
        <v>4862878</v>
      </c>
      <c r="Z9" s="43">
        <v>32900040</v>
      </c>
      <c r="AA9" s="43">
        <v>3090111</v>
      </c>
      <c r="AB9" s="43">
        <v>4054016</v>
      </c>
      <c r="AC9" s="43">
        <v>4730004</v>
      </c>
      <c r="AD9" s="43">
        <v>21270797</v>
      </c>
      <c r="AE9" s="43">
        <v>2160941</v>
      </c>
      <c r="AF9" s="43">
        <v>4136834</v>
      </c>
      <c r="AG9" s="43">
        <v>1833346</v>
      </c>
      <c r="AH9" s="43">
        <v>11407885</v>
      </c>
      <c r="AI9" s="43">
        <v>101604270</v>
      </c>
      <c r="AJ9" s="43">
        <v>12434807</v>
      </c>
      <c r="AK9" s="43">
        <v>1368821</v>
      </c>
      <c r="AL9" s="43">
        <v>2182430</v>
      </c>
      <c r="AM9" s="44">
        <v>3028126</v>
      </c>
      <c r="AN9" s="43">
        <v>76319771</v>
      </c>
      <c r="AP9" s="43">
        <v>14337709</v>
      </c>
      <c r="AQ9" s="43">
        <v>18474871</v>
      </c>
      <c r="AR9" s="43">
        <v>7280355</v>
      </c>
      <c r="AS9" s="43">
        <v>4106042</v>
      </c>
      <c r="AT9" s="43">
        <v>2622885</v>
      </c>
      <c r="AU9" s="43">
        <v>45290851</v>
      </c>
      <c r="AV9" s="43">
        <v>11555794</v>
      </c>
      <c r="AW9" s="43">
        <v>3181571</v>
      </c>
      <c r="AX9" s="43">
        <v>4437564</v>
      </c>
      <c r="AY9" s="43">
        <v>30701956</v>
      </c>
      <c r="AZ9" s="43">
        <v>1762552</v>
      </c>
      <c r="BA9" s="43">
        <v>5889948</v>
      </c>
      <c r="BB9" s="43">
        <v>4659704</v>
      </c>
      <c r="BC9" s="43">
        <v>8284729</v>
      </c>
      <c r="BD9" s="43">
        <v>12610784</v>
      </c>
      <c r="BE9" s="43">
        <v>15572997</v>
      </c>
      <c r="BF9" s="43">
        <v>24247445</v>
      </c>
      <c r="BG9" s="43">
        <v>36851902</v>
      </c>
      <c r="BH9" s="43">
        <v>40151033</v>
      </c>
      <c r="BI9" s="43">
        <v>3201314</v>
      </c>
      <c r="BJ9" s="43">
        <v>8453319</v>
      </c>
      <c r="BK9" s="43">
        <v>13832349</v>
      </c>
      <c r="BL9" s="43">
        <v>4174787</v>
      </c>
      <c r="BM9" s="43">
        <v>4088940</v>
      </c>
      <c r="BN9" s="43">
        <v>12747134</v>
      </c>
      <c r="BO9" s="43">
        <v>16409073</v>
      </c>
      <c r="BP9" s="43">
        <v>15439313</v>
      </c>
      <c r="BQ9" s="43">
        <v>14823055</v>
      </c>
      <c r="BR9" s="43">
        <v>4946368</v>
      </c>
      <c r="BS9" s="43">
        <v>4719607</v>
      </c>
      <c r="BT9" s="43">
        <v>6639044</v>
      </c>
      <c r="BU9" s="43">
        <v>13790845</v>
      </c>
      <c r="BV9" s="43">
        <v>25289572</v>
      </c>
      <c r="BW9" s="43">
        <v>25574381</v>
      </c>
      <c r="BX9" s="43">
        <v>24012892</v>
      </c>
      <c r="BY9" s="43">
        <v>27855356</v>
      </c>
      <c r="BZ9" s="43">
        <v>5279034</v>
      </c>
      <c r="CA9" s="44">
        <f t="shared" si="4"/>
        <v>1127226122</v>
      </c>
      <c r="CJ9" s="60" t="s">
        <v>997</v>
      </c>
      <c r="CK9" s="43">
        <f>C119+C121+C122+C124+C125+C126+C127+C142</f>
        <v>1259815</v>
      </c>
      <c r="CL9" s="43">
        <f t="shared" ref="CL9:EW9" si="9">D119+D121+D122+D124+D125+D126+D127+D142</f>
        <v>46233932</v>
      </c>
      <c r="CM9" s="43">
        <f t="shared" si="9"/>
        <v>1368228</v>
      </c>
      <c r="CN9" s="43">
        <f t="shared" si="9"/>
        <v>14833490</v>
      </c>
      <c r="CO9" s="43">
        <f t="shared" si="9"/>
        <v>3228591</v>
      </c>
      <c r="CP9" s="43">
        <f t="shared" si="9"/>
        <v>4082094</v>
      </c>
      <c r="CQ9" s="43">
        <f t="shared" si="9"/>
        <v>10125092</v>
      </c>
      <c r="CR9" s="43">
        <f t="shared" si="9"/>
        <v>15139645</v>
      </c>
      <c r="CS9" s="43">
        <f t="shared" si="9"/>
        <v>1948216</v>
      </c>
      <c r="CT9" s="43">
        <f t="shared" si="9"/>
        <v>1518214</v>
      </c>
      <c r="CU9" s="43">
        <f t="shared" si="9"/>
        <v>1272083</v>
      </c>
      <c r="CV9" s="43">
        <f t="shared" si="9"/>
        <v>88372685</v>
      </c>
      <c r="CW9" s="43">
        <f t="shared" si="9"/>
        <v>53807149</v>
      </c>
      <c r="CX9" s="43">
        <f t="shared" si="9"/>
        <v>2281010</v>
      </c>
      <c r="CY9" s="43">
        <f t="shared" si="9"/>
        <v>95420204</v>
      </c>
      <c r="CZ9" s="43">
        <f t="shared" si="9"/>
        <v>40496791</v>
      </c>
      <c r="DA9" s="43">
        <f t="shared" si="9"/>
        <v>2222175</v>
      </c>
      <c r="DB9" s="43">
        <f t="shared" si="9"/>
        <v>6686503</v>
      </c>
      <c r="DC9" s="44">
        <f t="shared" si="9"/>
        <v>0</v>
      </c>
      <c r="DD9" s="43">
        <f t="shared" si="9"/>
        <v>9327946</v>
      </c>
      <c r="DE9" s="43">
        <f t="shared" si="9"/>
        <v>9649907</v>
      </c>
      <c r="DF9" s="43">
        <f t="shared" si="9"/>
        <v>309763</v>
      </c>
      <c r="DG9" s="43">
        <f t="shared" si="9"/>
        <v>774004</v>
      </c>
      <c r="DH9" s="43">
        <f t="shared" si="9"/>
        <v>34048712</v>
      </c>
      <c r="DI9" s="43">
        <f t="shared" si="9"/>
        <v>4209693</v>
      </c>
      <c r="DJ9" s="43">
        <f t="shared" si="9"/>
        <v>4955114</v>
      </c>
      <c r="DK9" s="43">
        <f t="shared" si="9"/>
        <v>2209605</v>
      </c>
      <c r="DL9" s="43">
        <f t="shared" si="9"/>
        <v>22775514</v>
      </c>
      <c r="DM9" s="43">
        <f t="shared" si="9"/>
        <v>672777</v>
      </c>
      <c r="DN9" s="43">
        <f t="shared" si="9"/>
        <v>959286</v>
      </c>
      <c r="DO9" s="43">
        <f t="shared" si="9"/>
        <v>376545</v>
      </c>
      <c r="DP9" s="43">
        <f t="shared" si="9"/>
        <v>13812640</v>
      </c>
      <c r="DQ9" s="43">
        <f t="shared" si="9"/>
        <v>85511360</v>
      </c>
      <c r="DR9" s="43">
        <f t="shared" si="9"/>
        <v>10099042</v>
      </c>
      <c r="DS9" s="43">
        <f t="shared" si="9"/>
        <v>229348</v>
      </c>
      <c r="DT9" s="43">
        <f t="shared" si="9"/>
        <v>2617567</v>
      </c>
      <c r="DU9" s="44">
        <f t="shared" si="9"/>
        <v>3483510</v>
      </c>
      <c r="DV9" s="43">
        <f t="shared" si="9"/>
        <v>60508814</v>
      </c>
      <c r="DW9" s="44">
        <f t="shared" si="9"/>
        <v>0</v>
      </c>
      <c r="DX9" s="43">
        <f t="shared" si="9"/>
        <v>24567075</v>
      </c>
      <c r="DY9" s="43">
        <f t="shared" si="9"/>
        <v>20072686</v>
      </c>
      <c r="DZ9" s="43">
        <f t="shared" si="9"/>
        <v>3233200</v>
      </c>
      <c r="EA9" s="43">
        <f t="shared" si="9"/>
        <v>3614404</v>
      </c>
      <c r="EB9" s="43">
        <f t="shared" si="9"/>
        <v>4991826</v>
      </c>
      <c r="EC9" s="43">
        <f t="shared" si="9"/>
        <v>53457811</v>
      </c>
      <c r="ED9" s="43">
        <f t="shared" si="9"/>
        <v>17360013</v>
      </c>
      <c r="EE9" s="43">
        <f t="shared" si="9"/>
        <v>48102840</v>
      </c>
      <c r="EF9" s="43">
        <f t="shared" si="9"/>
        <v>5729130</v>
      </c>
      <c r="EG9" s="43">
        <f t="shared" si="9"/>
        <v>39578149</v>
      </c>
      <c r="EH9" s="43">
        <f t="shared" si="9"/>
        <v>28818</v>
      </c>
      <c r="EI9" s="43">
        <f t="shared" si="9"/>
        <v>40029</v>
      </c>
      <c r="EJ9" s="43">
        <f t="shared" si="9"/>
        <v>3921399</v>
      </c>
      <c r="EK9" s="43">
        <f t="shared" si="9"/>
        <v>5783714</v>
      </c>
      <c r="EL9" s="43">
        <f t="shared" si="9"/>
        <v>18402336</v>
      </c>
      <c r="EM9" s="43">
        <f t="shared" si="9"/>
        <v>18545520</v>
      </c>
      <c r="EN9" s="43">
        <f t="shared" si="9"/>
        <v>35799582</v>
      </c>
      <c r="EO9" s="43">
        <f t="shared" si="9"/>
        <v>47714818</v>
      </c>
      <c r="EP9" s="43">
        <f t="shared" si="9"/>
        <v>65819974</v>
      </c>
      <c r="EQ9" s="43">
        <f t="shared" si="9"/>
        <v>2119975</v>
      </c>
      <c r="ER9" s="43">
        <f t="shared" si="9"/>
        <v>7925236</v>
      </c>
      <c r="ES9" s="43">
        <f t="shared" si="9"/>
        <v>17728980</v>
      </c>
      <c r="ET9" s="43">
        <f t="shared" si="9"/>
        <v>3069690</v>
      </c>
      <c r="EU9" s="43">
        <f t="shared" si="9"/>
        <v>4295499</v>
      </c>
      <c r="EV9" s="43">
        <f t="shared" si="9"/>
        <v>16496944</v>
      </c>
      <c r="EW9" s="43">
        <f t="shared" si="9"/>
        <v>33896301</v>
      </c>
      <c r="EX9" s="43">
        <f t="shared" ref="EX9:FI9" si="10">BP119+BP121+BP122+BP124+BP125+BP126+BP127+BP142</f>
        <v>18281379</v>
      </c>
      <c r="EY9" s="43">
        <f t="shared" si="10"/>
        <v>8664059</v>
      </c>
      <c r="EZ9" s="43">
        <f t="shared" si="10"/>
        <v>3016872</v>
      </c>
      <c r="FA9" s="43">
        <f t="shared" si="10"/>
        <v>1651558</v>
      </c>
      <c r="FB9" s="43">
        <f t="shared" si="10"/>
        <v>8427725</v>
      </c>
      <c r="FC9" s="43">
        <f t="shared" si="10"/>
        <v>8931173</v>
      </c>
      <c r="FD9" s="43">
        <f t="shared" si="10"/>
        <v>16638312</v>
      </c>
      <c r="FE9" s="43">
        <f t="shared" si="10"/>
        <v>77882633</v>
      </c>
      <c r="FF9" s="43">
        <f t="shared" si="10"/>
        <v>20339595</v>
      </c>
      <c r="FG9" s="43">
        <f t="shared" si="10"/>
        <v>13512173</v>
      </c>
      <c r="FH9" s="43">
        <f t="shared" si="10"/>
        <v>1996716</v>
      </c>
      <c r="FI9" s="43">
        <f t="shared" si="10"/>
        <v>1338465208</v>
      </c>
    </row>
    <row r="10" spans="1:167" x14ac:dyDescent="0.25">
      <c r="A10" s="57" t="s">
        <v>587</v>
      </c>
      <c r="B10" s="57" t="s">
        <v>588</v>
      </c>
      <c r="C10" s="43">
        <v>1343673</v>
      </c>
      <c r="D10" s="43">
        <v>4938433</v>
      </c>
      <c r="E10" s="43">
        <v>575845</v>
      </c>
      <c r="F10" s="43">
        <v>1596084</v>
      </c>
      <c r="G10" s="43">
        <v>1168931</v>
      </c>
      <c r="H10" s="43">
        <v>814475</v>
      </c>
      <c r="I10" s="43">
        <v>1024069</v>
      </c>
      <c r="J10" s="43">
        <v>2348828</v>
      </c>
      <c r="K10" s="43">
        <v>1004777</v>
      </c>
      <c r="L10" s="43">
        <v>369564</v>
      </c>
      <c r="M10" s="43">
        <v>673556</v>
      </c>
      <c r="N10" s="43">
        <v>8436512</v>
      </c>
      <c r="O10" s="43">
        <v>10248173</v>
      </c>
      <c r="P10" s="43">
        <v>471803</v>
      </c>
      <c r="Q10" s="43">
        <v>16353053</v>
      </c>
      <c r="R10" s="43">
        <v>2211693</v>
      </c>
      <c r="S10" s="43">
        <v>1651834</v>
      </c>
      <c r="T10" s="43">
        <v>3117221</v>
      </c>
      <c r="V10" s="43">
        <v>1351457</v>
      </c>
      <c r="W10" s="43">
        <v>2531863</v>
      </c>
      <c r="X10" s="43">
        <v>392041</v>
      </c>
      <c r="Y10" s="43">
        <v>421123</v>
      </c>
      <c r="Z10" s="43">
        <v>4003682</v>
      </c>
      <c r="AA10" s="43">
        <v>247509</v>
      </c>
      <c r="AB10" s="43">
        <v>1607794</v>
      </c>
      <c r="AC10" s="43">
        <v>1788936</v>
      </c>
      <c r="AD10" s="43">
        <v>3738355</v>
      </c>
      <c r="AE10" s="43">
        <v>588289</v>
      </c>
      <c r="AF10" s="43">
        <v>912866</v>
      </c>
      <c r="AG10" s="43">
        <v>367146</v>
      </c>
      <c r="AH10" s="43">
        <v>1973058</v>
      </c>
      <c r="AI10" s="43">
        <v>21640336</v>
      </c>
      <c r="AJ10" s="43">
        <v>187100</v>
      </c>
      <c r="AK10" s="43">
        <v>366559</v>
      </c>
      <c r="AL10" s="43">
        <v>468570</v>
      </c>
      <c r="AM10" s="44">
        <v>675163</v>
      </c>
      <c r="AN10" s="43">
        <v>6644252</v>
      </c>
      <c r="AP10" s="43">
        <v>3112257</v>
      </c>
      <c r="AQ10" s="43">
        <v>4686888</v>
      </c>
      <c r="AR10" s="43">
        <v>1422687</v>
      </c>
      <c r="AS10" s="43">
        <v>872106</v>
      </c>
      <c r="AT10" s="43">
        <v>987726</v>
      </c>
      <c r="AU10" s="43">
        <v>8628861</v>
      </c>
      <c r="AV10" s="43">
        <v>2611282</v>
      </c>
      <c r="AW10" s="43">
        <v>797488</v>
      </c>
      <c r="AX10" s="43">
        <v>849040</v>
      </c>
      <c r="AY10" s="43">
        <v>5396993</v>
      </c>
      <c r="AZ10" s="43">
        <v>357779</v>
      </c>
      <c r="BA10" s="43">
        <v>1816466</v>
      </c>
      <c r="BB10" s="43">
        <v>1327648</v>
      </c>
      <c r="BC10" s="43">
        <v>1856507</v>
      </c>
      <c r="BD10" s="43">
        <v>3491456</v>
      </c>
      <c r="BE10" s="43">
        <v>4880190</v>
      </c>
      <c r="BF10" s="43">
        <v>3926235</v>
      </c>
      <c r="BG10" s="43">
        <v>8226386</v>
      </c>
      <c r="BH10" s="43">
        <v>5546336</v>
      </c>
      <c r="BI10" s="43">
        <v>758087</v>
      </c>
      <c r="BJ10" s="43">
        <v>966645</v>
      </c>
      <c r="BK10" s="43">
        <v>1118702</v>
      </c>
      <c r="BL10" s="43">
        <v>594580</v>
      </c>
      <c r="BM10" s="43">
        <v>699106</v>
      </c>
      <c r="BN10" s="43">
        <v>2123472</v>
      </c>
      <c r="BO10" s="43">
        <v>2751751</v>
      </c>
      <c r="BP10" s="43">
        <v>1560400</v>
      </c>
      <c r="BQ10" s="43">
        <v>4134104</v>
      </c>
      <c r="BR10" s="43">
        <v>1285384</v>
      </c>
      <c r="BS10" s="43">
        <v>1380569</v>
      </c>
      <c r="BT10" s="43">
        <v>2022641</v>
      </c>
      <c r="BU10" s="43">
        <v>2985314</v>
      </c>
      <c r="BV10" s="43">
        <v>2959549</v>
      </c>
      <c r="BW10" s="43">
        <v>2752273</v>
      </c>
      <c r="BX10" s="43">
        <v>1135135</v>
      </c>
      <c r="BY10" s="43">
        <v>3231133</v>
      </c>
      <c r="BZ10" s="43">
        <v>14172</v>
      </c>
      <c r="CA10" s="44">
        <f t="shared" si="4"/>
        <v>201521971</v>
      </c>
      <c r="DC10" s="44"/>
      <c r="DU10" s="44"/>
      <c r="DW10" s="44"/>
    </row>
    <row r="11" spans="1:167" x14ac:dyDescent="0.25">
      <c r="A11" s="57" t="s">
        <v>589</v>
      </c>
      <c r="B11" s="57" t="s">
        <v>590</v>
      </c>
      <c r="C11" s="37">
        <v>0</v>
      </c>
      <c r="D11" s="43">
        <v>48387</v>
      </c>
      <c r="E11" s="37">
        <v>0</v>
      </c>
      <c r="F11" s="43">
        <v>129927</v>
      </c>
      <c r="G11" s="43">
        <v>177356</v>
      </c>
      <c r="H11" s="43">
        <v>115447</v>
      </c>
      <c r="I11" s="37">
        <v>0</v>
      </c>
      <c r="J11" s="43">
        <v>41589</v>
      </c>
      <c r="K11" s="37">
        <v>0</v>
      </c>
      <c r="L11" s="43">
        <v>1127600</v>
      </c>
      <c r="M11" s="37">
        <v>0</v>
      </c>
      <c r="N11" s="37">
        <v>0</v>
      </c>
      <c r="O11" s="43">
        <v>1956375</v>
      </c>
      <c r="P11" s="43">
        <v>4386</v>
      </c>
      <c r="Q11" s="43">
        <v>43608</v>
      </c>
      <c r="R11" s="37">
        <v>0</v>
      </c>
      <c r="S11" s="43">
        <v>68562</v>
      </c>
      <c r="T11" s="43">
        <v>358273</v>
      </c>
      <c r="V11" s="37">
        <v>0</v>
      </c>
      <c r="W11" s="37">
        <v>0</v>
      </c>
      <c r="X11" s="37">
        <v>0</v>
      </c>
      <c r="Y11" s="37">
        <v>0</v>
      </c>
      <c r="Z11" s="43">
        <v>321963</v>
      </c>
      <c r="AA11" s="43">
        <v>3012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43">
        <v>414539</v>
      </c>
      <c r="AI11" s="43">
        <v>4508671</v>
      </c>
      <c r="AJ11" s="37">
        <v>0</v>
      </c>
      <c r="AK11" s="37">
        <v>0</v>
      </c>
      <c r="AL11" s="37">
        <v>0</v>
      </c>
      <c r="AM11" s="44">
        <v>0</v>
      </c>
      <c r="AN11" s="43">
        <v>70373</v>
      </c>
      <c r="AP11" s="37">
        <v>0</v>
      </c>
      <c r="AQ11" s="37">
        <v>0</v>
      </c>
      <c r="AR11" s="37">
        <v>0</v>
      </c>
      <c r="AS11" s="43">
        <v>3580</v>
      </c>
      <c r="AT11" s="37">
        <v>0</v>
      </c>
      <c r="AU11" s="43">
        <v>1152642</v>
      </c>
      <c r="AV11" s="37">
        <v>0</v>
      </c>
      <c r="AW11" s="37">
        <v>0</v>
      </c>
      <c r="AX11" s="43">
        <v>101075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43">
        <v>3153</v>
      </c>
      <c r="BE11" s="37">
        <v>0</v>
      </c>
      <c r="BF11" s="43">
        <v>13169</v>
      </c>
      <c r="BG11" s="37">
        <v>0</v>
      </c>
      <c r="BH11" s="43">
        <v>347269</v>
      </c>
      <c r="BI11" s="37">
        <v>0</v>
      </c>
      <c r="BJ11" s="43">
        <v>2850</v>
      </c>
      <c r="BK11" s="37">
        <v>0</v>
      </c>
      <c r="BL11" s="37">
        <v>0</v>
      </c>
      <c r="BM11" s="37">
        <v>0</v>
      </c>
      <c r="BN11" s="43">
        <v>47656</v>
      </c>
      <c r="BO11" s="43">
        <v>123803</v>
      </c>
      <c r="BP11" s="37">
        <v>0</v>
      </c>
      <c r="BQ11" s="43">
        <v>1655838</v>
      </c>
      <c r="BR11" s="37">
        <v>0</v>
      </c>
      <c r="BS11" s="37">
        <v>0</v>
      </c>
      <c r="BT11" s="37">
        <v>0</v>
      </c>
      <c r="BU11" s="37">
        <v>0</v>
      </c>
      <c r="BV11" s="37">
        <v>0</v>
      </c>
      <c r="BW11" s="43">
        <v>31941</v>
      </c>
      <c r="BX11" s="37">
        <v>0</v>
      </c>
      <c r="BY11" s="43">
        <v>348087</v>
      </c>
      <c r="BZ11" s="43">
        <v>30262</v>
      </c>
      <c r="CA11" s="44">
        <f t="shared" si="4"/>
        <v>13251393</v>
      </c>
      <c r="CJ11" s="61" t="s">
        <v>996</v>
      </c>
      <c r="CK11" s="44">
        <f>SUM(CK5:CK9)</f>
        <v>43266127</v>
      </c>
      <c r="CL11" s="44">
        <f t="shared" ref="CL11:EW11" si="11">SUM(CL5:CL9)</f>
        <v>322688027</v>
      </c>
      <c r="CM11" s="44">
        <f t="shared" si="11"/>
        <v>22235855</v>
      </c>
      <c r="CN11" s="44">
        <f t="shared" si="11"/>
        <v>133654505</v>
      </c>
      <c r="CO11" s="44">
        <f t="shared" si="11"/>
        <v>49301013</v>
      </c>
      <c r="CP11" s="44">
        <f t="shared" si="11"/>
        <v>39642684</v>
      </c>
      <c r="CQ11" s="44">
        <f t="shared" si="11"/>
        <v>55317955</v>
      </c>
      <c r="CR11" s="44">
        <f t="shared" si="11"/>
        <v>201352720</v>
      </c>
      <c r="CS11" s="44">
        <f t="shared" si="11"/>
        <v>34808947</v>
      </c>
      <c r="CT11" s="44">
        <f t="shared" si="11"/>
        <v>32198349</v>
      </c>
      <c r="CU11" s="44">
        <f t="shared" si="11"/>
        <v>24705723</v>
      </c>
      <c r="CV11" s="44">
        <f t="shared" si="11"/>
        <v>456126398</v>
      </c>
      <c r="CW11" s="44">
        <f t="shared" si="11"/>
        <v>533391173</v>
      </c>
      <c r="CX11" s="44">
        <f t="shared" si="11"/>
        <v>27268339</v>
      </c>
      <c r="CY11" s="44">
        <f t="shared" si="11"/>
        <v>939929737</v>
      </c>
      <c r="CZ11" s="44">
        <f t="shared" si="11"/>
        <v>151193702</v>
      </c>
      <c r="DA11" s="44">
        <f t="shared" si="11"/>
        <v>77959161</v>
      </c>
      <c r="DB11" s="44">
        <f t="shared" si="11"/>
        <v>101263027</v>
      </c>
      <c r="DC11" s="44">
        <f t="shared" si="11"/>
        <v>0</v>
      </c>
      <c r="DD11" s="44">
        <f t="shared" si="11"/>
        <v>82699196</v>
      </c>
      <c r="DE11" s="44">
        <f t="shared" si="11"/>
        <v>168012513</v>
      </c>
      <c r="DF11" s="44">
        <f t="shared" si="11"/>
        <v>16663399</v>
      </c>
      <c r="DG11" s="44">
        <f t="shared" si="11"/>
        <v>46858295</v>
      </c>
      <c r="DH11" s="44">
        <f t="shared" si="11"/>
        <v>328234273</v>
      </c>
      <c r="DI11" s="44">
        <f t="shared" si="11"/>
        <v>43366663</v>
      </c>
      <c r="DJ11" s="44">
        <f t="shared" si="11"/>
        <v>55008452</v>
      </c>
      <c r="DK11" s="44">
        <f t="shared" si="11"/>
        <v>54243108</v>
      </c>
      <c r="DL11" s="44">
        <f t="shared" si="11"/>
        <v>254673472</v>
      </c>
      <c r="DM11" s="44">
        <f t="shared" si="11"/>
        <v>16720605</v>
      </c>
      <c r="DN11" s="44">
        <f t="shared" si="11"/>
        <v>47529950</v>
      </c>
      <c r="DO11" s="44">
        <f t="shared" si="11"/>
        <v>18208997</v>
      </c>
      <c r="DP11" s="44">
        <f t="shared" si="11"/>
        <v>143792286</v>
      </c>
      <c r="DQ11" s="44">
        <f t="shared" si="11"/>
        <v>1060425246</v>
      </c>
      <c r="DR11" s="44">
        <f t="shared" si="11"/>
        <v>128510027</v>
      </c>
      <c r="DS11" s="44">
        <f t="shared" si="11"/>
        <v>13939573</v>
      </c>
      <c r="DT11" s="44">
        <f t="shared" si="11"/>
        <v>23859538</v>
      </c>
      <c r="DU11" s="44">
        <f t="shared" si="11"/>
        <v>42746391</v>
      </c>
      <c r="DV11" s="44">
        <f t="shared" si="11"/>
        <v>737589858</v>
      </c>
      <c r="DW11" s="44">
        <f t="shared" si="11"/>
        <v>0</v>
      </c>
      <c r="DX11" s="44">
        <f t="shared" si="11"/>
        <v>168155721</v>
      </c>
      <c r="DY11" s="44">
        <f t="shared" si="11"/>
        <v>210098079</v>
      </c>
      <c r="DZ11" s="44">
        <f t="shared" si="11"/>
        <v>78961524</v>
      </c>
      <c r="EA11" s="44">
        <f t="shared" si="11"/>
        <v>46729341</v>
      </c>
      <c r="EB11" s="44">
        <f t="shared" si="11"/>
        <v>30902961</v>
      </c>
      <c r="EC11" s="44">
        <f t="shared" si="11"/>
        <v>435063770</v>
      </c>
      <c r="ED11" s="44">
        <f t="shared" si="11"/>
        <v>142564170</v>
      </c>
      <c r="EE11" s="44">
        <f t="shared" si="11"/>
        <v>80865479</v>
      </c>
      <c r="EF11" s="44">
        <f t="shared" si="11"/>
        <v>56842549</v>
      </c>
      <c r="EG11" s="44">
        <f t="shared" si="11"/>
        <v>300321644</v>
      </c>
      <c r="EH11" s="44">
        <f t="shared" si="11"/>
        <v>14859946</v>
      </c>
      <c r="EI11" s="44">
        <f t="shared" si="11"/>
        <v>59023052</v>
      </c>
      <c r="EJ11" s="44">
        <f t="shared" si="11"/>
        <v>59000635</v>
      </c>
      <c r="EK11" s="44">
        <f t="shared" si="11"/>
        <v>94119807</v>
      </c>
      <c r="EL11" s="44">
        <f t="shared" si="11"/>
        <v>163039510</v>
      </c>
      <c r="EM11" s="44">
        <f t="shared" si="11"/>
        <v>201865274</v>
      </c>
      <c r="EN11" s="44">
        <f t="shared" si="11"/>
        <v>230369438</v>
      </c>
      <c r="EO11" s="44">
        <f t="shared" si="11"/>
        <v>468393204</v>
      </c>
      <c r="EP11" s="44">
        <f t="shared" si="11"/>
        <v>464903938</v>
      </c>
      <c r="EQ11" s="44">
        <f t="shared" si="11"/>
        <v>34222081</v>
      </c>
      <c r="ER11" s="44">
        <f t="shared" si="11"/>
        <v>75154461</v>
      </c>
      <c r="ES11" s="44">
        <f t="shared" si="11"/>
        <v>145777338</v>
      </c>
      <c r="ET11" s="44">
        <f t="shared" si="11"/>
        <v>43866840</v>
      </c>
      <c r="EU11" s="44">
        <f t="shared" si="11"/>
        <v>38432459</v>
      </c>
      <c r="EV11" s="44">
        <f t="shared" si="11"/>
        <v>142050303</v>
      </c>
      <c r="EW11" s="44">
        <f t="shared" si="11"/>
        <v>196162189</v>
      </c>
      <c r="EX11" s="44">
        <f t="shared" ref="EX11:FI11" si="12">SUM(EX5:EX9)</f>
        <v>151949678</v>
      </c>
      <c r="EY11" s="44">
        <f t="shared" si="12"/>
        <v>200197392</v>
      </c>
      <c r="EZ11" s="44">
        <f t="shared" si="12"/>
        <v>51415944</v>
      </c>
      <c r="FA11" s="44">
        <f t="shared" si="12"/>
        <v>65828825</v>
      </c>
      <c r="FB11" s="44">
        <f t="shared" si="12"/>
        <v>79193934</v>
      </c>
      <c r="FC11" s="44">
        <f t="shared" si="12"/>
        <v>132281595</v>
      </c>
      <c r="FD11" s="44">
        <f t="shared" si="12"/>
        <v>247057744</v>
      </c>
      <c r="FE11" s="44">
        <f t="shared" si="12"/>
        <v>298819717</v>
      </c>
      <c r="FF11" s="44">
        <f t="shared" si="12"/>
        <v>229390291</v>
      </c>
      <c r="FG11" s="44">
        <f t="shared" si="12"/>
        <v>230640755</v>
      </c>
      <c r="FH11" s="44">
        <f t="shared" si="12"/>
        <v>24042781</v>
      </c>
      <c r="FI11" s="44">
        <f t="shared" si="12"/>
        <v>12221949653</v>
      </c>
    </row>
    <row r="12" spans="1:167" x14ac:dyDescent="0.25">
      <c r="A12" s="57" t="s">
        <v>591</v>
      </c>
      <c r="B12" s="57" t="s">
        <v>592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43">
        <v>3189</v>
      </c>
      <c r="M12" s="43">
        <v>3150</v>
      </c>
      <c r="N12" s="43">
        <v>227157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43">
        <v>156742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43">
        <v>283726</v>
      </c>
      <c r="AI12" s="37">
        <v>0</v>
      </c>
      <c r="AJ12" s="37">
        <v>0</v>
      </c>
      <c r="AK12" s="37">
        <v>0</v>
      </c>
      <c r="AL12" s="37">
        <v>0</v>
      </c>
      <c r="AM12" s="44">
        <v>0</v>
      </c>
      <c r="AN12" s="37">
        <v>259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43">
        <v>94615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43">
        <v>264083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  <c r="BV12" s="37">
        <v>0</v>
      </c>
      <c r="BW12" s="43">
        <v>17290</v>
      </c>
      <c r="BX12" s="37">
        <v>0</v>
      </c>
      <c r="BY12" s="37">
        <v>0</v>
      </c>
      <c r="BZ12" s="37">
        <v>0</v>
      </c>
      <c r="CA12" s="44">
        <f t="shared" si="4"/>
        <v>1050211</v>
      </c>
    </row>
    <row r="13" spans="1:167" x14ac:dyDescent="0.25">
      <c r="A13" s="57" t="s">
        <v>593</v>
      </c>
      <c r="B13" s="57" t="s">
        <v>594</v>
      </c>
      <c r="C13" s="37">
        <v>0</v>
      </c>
      <c r="D13" s="37">
        <v>0</v>
      </c>
      <c r="E13" s="43">
        <v>76962</v>
      </c>
      <c r="F13" s="37">
        <v>0</v>
      </c>
      <c r="G13" s="43">
        <v>433754</v>
      </c>
      <c r="H13" s="37">
        <v>0</v>
      </c>
      <c r="I13" s="37">
        <v>0</v>
      </c>
      <c r="J13" s="37">
        <v>0</v>
      </c>
      <c r="K13" s="37">
        <v>0</v>
      </c>
      <c r="L13" s="43">
        <v>305462</v>
      </c>
      <c r="M13" s="37">
        <v>0</v>
      </c>
      <c r="N13" s="43">
        <v>1226110</v>
      </c>
      <c r="O13" s="43">
        <v>148688</v>
      </c>
      <c r="P13" s="43">
        <v>526610</v>
      </c>
      <c r="Q13" s="43">
        <v>9871067</v>
      </c>
      <c r="R13" s="37">
        <v>0</v>
      </c>
      <c r="S13" s="37">
        <v>0</v>
      </c>
      <c r="T13" s="37">
        <v>0</v>
      </c>
      <c r="V13" s="37">
        <v>0</v>
      </c>
      <c r="W13" s="43">
        <v>250720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43">
        <v>4463407</v>
      </c>
      <c r="AE13" s="43">
        <v>1228548</v>
      </c>
      <c r="AF13" s="43">
        <v>131108</v>
      </c>
      <c r="AG13" s="37">
        <v>0</v>
      </c>
      <c r="AH13" s="43">
        <v>1220337</v>
      </c>
      <c r="AI13" s="37">
        <v>0</v>
      </c>
      <c r="AJ13" s="43">
        <v>1065073</v>
      </c>
      <c r="AK13" s="37">
        <v>0</v>
      </c>
      <c r="AL13" s="37">
        <v>0</v>
      </c>
      <c r="AM13" s="44">
        <v>0</v>
      </c>
      <c r="AN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43">
        <v>765001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43">
        <v>1663700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43">
        <v>663910</v>
      </c>
      <c r="BW13" s="37">
        <v>0</v>
      </c>
      <c r="BX13" s="43">
        <v>189455</v>
      </c>
      <c r="BY13" s="43">
        <v>3500</v>
      </c>
      <c r="BZ13" s="43">
        <v>247069</v>
      </c>
      <c r="CA13" s="44">
        <f t="shared" si="4"/>
        <v>24480481</v>
      </c>
    </row>
    <row r="14" spans="1:167" x14ac:dyDescent="0.25">
      <c r="A14" s="57" t="s">
        <v>595</v>
      </c>
      <c r="B14" s="57" t="s">
        <v>596</v>
      </c>
      <c r="AM14" s="44"/>
      <c r="CA14" s="44">
        <f t="shared" si="4"/>
        <v>0</v>
      </c>
    </row>
    <row r="15" spans="1:167" x14ac:dyDescent="0.25">
      <c r="A15" s="57" t="s">
        <v>597</v>
      </c>
      <c r="B15" s="57" t="s">
        <v>298</v>
      </c>
      <c r="C15" s="43">
        <v>31911</v>
      </c>
      <c r="D15" s="43">
        <v>2833889</v>
      </c>
      <c r="E15" s="43">
        <v>293755</v>
      </c>
      <c r="F15" s="43">
        <v>909809</v>
      </c>
      <c r="G15" s="43">
        <v>317262</v>
      </c>
      <c r="H15" s="43">
        <v>181844</v>
      </c>
      <c r="I15" s="43">
        <v>830410</v>
      </c>
      <c r="J15" s="43">
        <v>1726890</v>
      </c>
      <c r="K15" s="43">
        <v>705080</v>
      </c>
      <c r="L15" s="43">
        <v>943221</v>
      </c>
      <c r="M15" s="37">
        <v>0</v>
      </c>
      <c r="N15" s="43">
        <v>1611503</v>
      </c>
      <c r="O15" s="43">
        <v>4260708</v>
      </c>
      <c r="P15" s="37">
        <v>0</v>
      </c>
      <c r="Q15" s="43">
        <v>11683768</v>
      </c>
      <c r="R15" s="43">
        <v>598440</v>
      </c>
      <c r="S15" s="43">
        <v>869672</v>
      </c>
      <c r="T15" s="43">
        <v>819261</v>
      </c>
      <c r="V15" s="43">
        <v>851476</v>
      </c>
      <c r="W15" s="43">
        <v>2154178</v>
      </c>
      <c r="X15" s="43">
        <v>64754</v>
      </c>
      <c r="Y15" s="43">
        <v>232616</v>
      </c>
      <c r="Z15" s="43">
        <v>8847558</v>
      </c>
      <c r="AA15" s="43">
        <v>1232288</v>
      </c>
      <c r="AB15" s="43">
        <v>340785</v>
      </c>
      <c r="AC15" s="43">
        <v>441624</v>
      </c>
      <c r="AD15" s="43">
        <v>2142365</v>
      </c>
      <c r="AE15" s="43">
        <v>649644</v>
      </c>
      <c r="AF15" s="43">
        <v>609158</v>
      </c>
      <c r="AG15" s="43">
        <v>195069</v>
      </c>
      <c r="AH15" s="43">
        <v>480000</v>
      </c>
      <c r="AI15" s="43">
        <v>8254677</v>
      </c>
      <c r="AJ15" s="43">
        <v>149164</v>
      </c>
      <c r="AK15" s="43">
        <v>4174</v>
      </c>
      <c r="AL15" s="37">
        <v>944</v>
      </c>
      <c r="AM15" s="44">
        <v>481824</v>
      </c>
      <c r="AN15" s="43">
        <v>2257</v>
      </c>
      <c r="AP15" s="43">
        <v>983160</v>
      </c>
      <c r="AQ15" s="43">
        <v>1452352</v>
      </c>
      <c r="AR15" s="43">
        <v>108161</v>
      </c>
      <c r="AS15" s="43">
        <v>434781</v>
      </c>
      <c r="AT15" s="43">
        <v>172165</v>
      </c>
      <c r="AU15" s="43">
        <v>2012311</v>
      </c>
      <c r="AV15" s="43">
        <v>993024</v>
      </c>
      <c r="AW15" s="43">
        <v>453965</v>
      </c>
      <c r="AX15" s="43">
        <v>56205</v>
      </c>
      <c r="AY15" s="43">
        <v>5059232</v>
      </c>
      <c r="AZ15" s="43">
        <v>223495</v>
      </c>
      <c r="BA15" s="43">
        <v>499098</v>
      </c>
      <c r="BB15" s="43">
        <v>1185971</v>
      </c>
      <c r="BC15" s="43">
        <v>1933546</v>
      </c>
      <c r="BD15" s="43">
        <v>786414</v>
      </c>
      <c r="BE15" s="43">
        <v>469636</v>
      </c>
      <c r="BF15" s="43">
        <v>1770452</v>
      </c>
      <c r="BG15" s="43">
        <v>3782662</v>
      </c>
      <c r="BH15" s="43">
        <v>4060016</v>
      </c>
      <c r="BI15" s="43">
        <v>397909</v>
      </c>
      <c r="BJ15" s="43">
        <v>739785</v>
      </c>
      <c r="BK15" s="43">
        <v>745077</v>
      </c>
      <c r="BL15" s="43">
        <v>162925</v>
      </c>
      <c r="BM15" s="43">
        <v>791395</v>
      </c>
      <c r="BN15" s="43">
        <v>461748</v>
      </c>
      <c r="BO15" s="43">
        <v>1967348</v>
      </c>
      <c r="BP15" s="43">
        <v>1314360</v>
      </c>
      <c r="BQ15" s="43">
        <v>2037158</v>
      </c>
      <c r="BR15" s="43">
        <v>644657</v>
      </c>
      <c r="BS15" s="43">
        <v>563274</v>
      </c>
      <c r="BT15" s="43">
        <v>701739</v>
      </c>
      <c r="BU15" s="43">
        <v>3174154</v>
      </c>
      <c r="BV15" s="43">
        <v>2178547</v>
      </c>
      <c r="BW15" s="43">
        <v>1979257</v>
      </c>
      <c r="BX15" s="43">
        <v>184839</v>
      </c>
      <c r="BY15" s="43">
        <v>321909</v>
      </c>
      <c r="BZ15" s="37">
        <v>0</v>
      </c>
      <c r="CA15" s="44">
        <f t="shared" si="4"/>
        <v>100554705</v>
      </c>
    </row>
    <row r="16" spans="1:167" x14ac:dyDescent="0.25">
      <c r="A16" s="57" t="s">
        <v>598</v>
      </c>
      <c r="B16" s="57" t="s">
        <v>288</v>
      </c>
      <c r="C16" s="43">
        <v>690841</v>
      </c>
      <c r="D16" s="43">
        <v>2630679</v>
      </c>
      <c r="E16" s="43">
        <v>154849</v>
      </c>
      <c r="F16" s="43">
        <v>505495</v>
      </c>
      <c r="G16" s="43">
        <v>149784</v>
      </c>
      <c r="H16" s="43">
        <v>130303</v>
      </c>
      <c r="I16" s="43">
        <v>235517</v>
      </c>
      <c r="J16" s="43">
        <v>325984</v>
      </c>
      <c r="K16" s="43">
        <v>111944</v>
      </c>
      <c r="L16" s="43">
        <v>390389</v>
      </c>
      <c r="M16" s="37">
        <v>0</v>
      </c>
      <c r="N16" s="43">
        <v>1041790</v>
      </c>
      <c r="O16" s="43">
        <v>2223158</v>
      </c>
      <c r="P16" s="37">
        <v>0</v>
      </c>
      <c r="Q16" s="43">
        <v>4828902</v>
      </c>
      <c r="R16" s="43">
        <v>843366</v>
      </c>
      <c r="S16" s="43">
        <v>561597</v>
      </c>
      <c r="T16" s="43">
        <v>1050063</v>
      </c>
      <c r="V16" s="43">
        <v>563941</v>
      </c>
      <c r="W16" s="43">
        <v>1056017</v>
      </c>
      <c r="X16" s="43">
        <v>252311</v>
      </c>
      <c r="Y16" s="43">
        <v>684108</v>
      </c>
      <c r="Z16" s="43">
        <v>1741694</v>
      </c>
      <c r="AA16" s="43">
        <v>386255</v>
      </c>
      <c r="AB16" s="43">
        <v>246826</v>
      </c>
      <c r="AC16" s="43">
        <v>320477</v>
      </c>
      <c r="AD16" s="43">
        <v>1473399</v>
      </c>
      <c r="AE16" s="37">
        <v>0</v>
      </c>
      <c r="AF16" s="43">
        <v>393751</v>
      </c>
      <c r="AG16" s="43">
        <v>472871</v>
      </c>
      <c r="AH16" s="43">
        <v>223824</v>
      </c>
      <c r="AI16" s="43">
        <v>8927818</v>
      </c>
      <c r="AJ16" s="43">
        <v>1072794</v>
      </c>
      <c r="AK16" s="43">
        <v>11663</v>
      </c>
      <c r="AL16" s="43">
        <v>227669</v>
      </c>
      <c r="AM16" s="44">
        <v>280718</v>
      </c>
      <c r="AN16" s="43">
        <v>5507973</v>
      </c>
      <c r="AP16" s="43">
        <v>788467</v>
      </c>
      <c r="AQ16" s="43">
        <v>1438483</v>
      </c>
      <c r="AR16" s="43">
        <v>25827</v>
      </c>
      <c r="AS16" s="43">
        <v>202692</v>
      </c>
      <c r="AT16" s="43">
        <v>221740</v>
      </c>
      <c r="AU16" s="43">
        <v>3320518</v>
      </c>
      <c r="AV16" s="43">
        <v>811291</v>
      </c>
      <c r="AW16" s="43">
        <v>56806</v>
      </c>
      <c r="AX16" s="43">
        <v>580646</v>
      </c>
      <c r="AY16" s="43">
        <v>846217</v>
      </c>
      <c r="AZ16" s="43">
        <v>45073</v>
      </c>
      <c r="BA16" s="43">
        <v>601942</v>
      </c>
      <c r="BB16" s="43">
        <v>504965</v>
      </c>
      <c r="BC16" s="43">
        <v>395399</v>
      </c>
      <c r="BD16" s="43">
        <v>193553</v>
      </c>
      <c r="BE16" s="43">
        <v>809304</v>
      </c>
      <c r="BF16" s="43">
        <v>960034</v>
      </c>
      <c r="BG16" s="43">
        <v>2861279</v>
      </c>
      <c r="BH16" s="43">
        <v>2303146</v>
      </c>
      <c r="BI16" s="43">
        <v>219453</v>
      </c>
      <c r="BJ16" s="43">
        <v>451499</v>
      </c>
      <c r="BK16" s="43">
        <v>257104</v>
      </c>
      <c r="BL16" s="43">
        <v>82697</v>
      </c>
      <c r="BM16" s="43">
        <v>33814</v>
      </c>
      <c r="BN16" s="43">
        <v>460816</v>
      </c>
      <c r="BO16" s="43">
        <v>1852382</v>
      </c>
      <c r="BP16" s="43">
        <v>5759655</v>
      </c>
      <c r="BQ16" s="43">
        <v>1995245</v>
      </c>
      <c r="BR16" s="43">
        <v>58610</v>
      </c>
      <c r="BS16" s="43">
        <v>526747</v>
      </c>
      <c r="BT16" s="43">
        <v>1127089</v>
      </c>
      <c r="BU16" s="43">
        <v>1560795</v>
      </c>
      <c r="BV16" s="43">
        <v>2447496</v>
      </c>
      <c r="BW16" s="43">
        <v>2440078</v>
      </c>
      <c r="BX16" s="37">
        <v>0</v>
      </c>
      <c r="BY16" s="43">
        <v>3126</v>
      </c>
      <c r="BZ16" s="37">
        <v>0</v>
      </c>
      <c r="CA16" s="44">
        <f t="shared" si="4"/>
        <v>75962758</v>
      </c>
    </row>
    <row r="17" spans="1:79" x14ac:dyDescent="0.25">
      <c r="A17" s="57" t="s">
        <v>599</v>
      </c>
      <c r="B17" s="57" t="s">
        <v>306</v>
      </c>
      <c r="C17" s="37">
        <v>0</v>
      </c>
      <c r="D17" s="43">
        <v>178282</v>
      </c>
      <c r="E17" s="37">
        <v>0</v>
      </c>
      <c r="F17" s="43">
        <v>597198</v>
      </c>
      <c r="G17" s="43">
        <v>11222</v>
      </c>
      <c r="H17" s="43">
        <v>62701</v>
      </c>
      <c r="I17" s="43">
        <v>2937</v>
      </c>
      <c r="J17" s="37">
        <v>0</v>
      </c>
      <c r="K17" s="43">
        <v>14169</v>
      </c>
      <c r="L17" s="37">
        <v>0</v>
      </c>
      <c r="M17" s="43">
        <v>69566</v>
      </c>
      <c r="N17" s="43">
        <v>1903666</v>
      </c>
      <c r="O17" s="37">
        <v>0</v>
      </c>
      <c r="P17" s="37">
        <v>0</v>
      </c>
      <c r="Q17" s="43">
        <v>157016</v>
      </c>
      <c r="R17" s="43">
        <v>395811</v>
      </c>
      <c r="S17" s="37">
        <v>0</v>
      </c>
      <c r="T17" s="43">
        <v>86473</v>
      </c>
      <c r="V17" s="43">
        <v>624045</v>
      </c>
      <c r="W17" s="43">
        <v>4667</v>
      </c>
      <c r="X17" s="37">
        <v>0</v>
      </c>
      <c r="Y17" s="37">
        <v>0</v>
      </c>
      <c r="Z17" s="43">
        <v>36692</v>
      </c>
      <c r="AA17" s="43">
        <v>145341</v>
      </c>
      <c r="AB17" s="43">
        <v>270273</v>
      </c>
      <c r="AC17" s="43">
        <v>200252</v>
      </c>
      <c r="AD17" s="43">
        <v>575676</v>
      </c>
      <c r="AE17" s="37">
        <v>0</v>
      </c>
      <c r="AF17" s="43">
        <v>134309</v>
      </c>
      <c r="AG17" s="43">
        <v>34070</v>
      </c>
      <c r="AH17" s="43">
        <v>146970</v>
      </c>
      <c r="AI17" s="43">
        <v>1455757</v>
      </c>
      <c r="AJ17" s="43">
        <v>39156</v>
      </c>
      <c r="AK17" s="43">
        <v>10012</v>
      </c>
      <c r="AL17" s="43">
        <v>252128</v>
      </c>
      <c r="AM17" s="44">
        <v>225705</v>
      </c>
      <c r="AN17" s="43">
        <v>1622988</v>
      </c>
      <c r="AP17" s="43">
        <v>672175</v>
      </c>
      <c r="AQ17" s="43">
        <v>33509</v>
      </c>
      <c r="AR17" s="43">
        <v>67617</v>
      </c>
      <c r="AS17" s="43">
        <v>67469</v>
      </c>
      <c r="AT17" s="43">
        <v>192026</v>
      </c>
      <c r="AU17" s="43">
        <v>63842</v>
      </c>
      <c r="AV17" s="43">
        <v>799932</v>
      </c>
      <c r="AW17" s="43">
        <v>89615</v>
      </c>
      <c r="AX17" s="43">
        <v>2553</v>
      </c>
      <c r="AY17" s="37">
        <v>595</v>
      </c>
      <c r="AZ17" s="37">
        <v>0</v>
      </c>
      <c r="BA17" s="43">
        <v>51653</v>
      </c>
      <c r="BB17" s="43">
        <v>34993</v>
      </c>
      <c r="BC17" s="43">
        <v>36410</v>
      </c>
      <c r="BD17" s="43">
        <v>177439</v>
      </c>
      <c r="BE17" s="43">
        <v>19260</v>
      </c>
      <c r="BF17" s="43">
        <v>348370</v>
      </c>
      <c r="BG17" s="43">
        <v>143795</v>
      </c>
      <c r="BH17" s="43">
        <v>56196</v>
      </c>
      <c r="BI17" s="43">
        <v>48669</v>
      </c>
      <c r="BJ17" s="37">
        <v>0</v>
      </c>
      <c r="BK17" s="43">
        <v>74553</v>
      </c>
      <c r="BL17" s="43">
        <v>59317</v>
      </c>
      <c r="BM17" s="43">
        <v>6117</v>
      </c>
      <c r="BN17" s="43">
        <v>14702</v>
      </c>
      <c r="BO17" s="43">
        <v>40494</v>
      </c>
      <c r="BP17" s="43">
        <v>100164</v>
      </c>
      <c r="BQ17" s="43">
        <v>91659</v>
      </c>
      <c r="BR17" s="43">
        <v>122923</v>
      </c>
      <c r="BS17" s="43">
        <v>270177</v>
      </c>
      <c r="BT17" s="43">
        <v>262694</v>
      </c>
      <c r="BU17" s="43">
        <v>7549</v>
      </c>
      <c r="BV17" s="43">
        <v>20742</v>
      </c>
      <c r="BW17" s="43">
        <v>1117527</v>
      </c>
      <c r="BX17" s="43">
        <v>448548</v>
      </c>
      <c r="BY17" s="43">
        <v>55200</v>
      </c>
      <c r="BZ17" s="37">
        <v>0</v>
      </c>
      <c r="CA17" s="44">
        <f t="shared" si="4"/>
        <v>14855566</v>
      </c>
    </row>
    <row r="18" spans="1:79" x14ac:dyDescent="0.25">
      <c r="A18" s="57" t="s">
        <v>600</v>
      </c>
      <c r="B18" s="57" t="s">
        <v>304</v>
      </c>
      <c r="C18" s="43">
        <v>57921</v>
      </c>
      <c r="D18" s="43">
        <v>293634</v>
      </c>
      <c r="E18" s="37">
        <v>0</v>
      </c>
      <c r="F18" s="43">
        <v>83650</v>
      </c>
      <c r="G18" s="43">
        <v>66733</v>
      </c>
      <c r="H18" s="43">
        <v>51924</v>
      </c>
      <c r="I18" s="43">
        <v>28090</v>
      </c>
      <c r="J18" s="43">
        <v>122885</v>
      </c>
      <c r="K18" s="37">
        <v>0</v>
      </c>
      <c r="L18" s="43">
        <v>10838</v>
      </c>
      <c r="M18" s="37">
        <v>0</v>
      </c>
      <c r="N18" s="43">
        <v>609439</v>
      </c>
      <c r="O18" s="43">
        <v>311702</v>
      </c>
      <c r="P18" s="43">
        <v>47064</v>
      </c>
      <c r="Q18" s="43">
        <v>126424</v>
      </c>
      <c r="R18" s="43">
        <v>109398</v>
      </c>
      <c r="S18" s="43">
        <v>20733</v>
      </c>
      <c r="T18" s="43">
        <v>40481</v>
      </c>
      <c r="V18" s="43">
        <v>15875</v>
      </c>
      <c r="W18" s="43">
        <v>286859</v>
      </c>
      <c r="X18" s="37">
        <v>0</v>
      </c>
      <c r="Y18" s="43">
        <v>27130</v>
      </c>
      <c r="Z18" s="43">
        <v>106154</v>
      </c>
      <c r="AA18" s="43">
        <v>9191</v>
      </c>
      <c r="AB18" s="37">
        <v>0</v>
      </c>
      <c r="AC18" s="43">
        <v>76105</v>
      </c>
      <c r="AD18" s="43">
        <v>169576</v>
      </c>
      <c r="AE18" s="37">
        <v>0</v>
      </c>
      <c r="AF18" s="37">
        <v>0</v>
      </c>
      <c r="AG18" s="43">
        <v>9353</v>
      </c>
      <c r="AH18" s="43">
        <v>177505</v>
      </c>
      <c r="AI18" s="43">
        <v>493669</v>
      </c>
      <c r="AJ18" s="43">
        <v>38704</v>
      </c>
      <c r="AK18" s="43">
        <v>8169</v>
      </c>
      <c r="AL18" s="43">
        <v>15311</v>
      </c>
      <c r="AM18" s="44">
        <v>28452</v>
      </c>
      <c r="AN18" s="43">
        <v>474753</v>
      </c>
      <c r="AP18" s="43">
        <v>7095</v>
      </c>
      <c r="AQ18" s="43">
        <v>191890</v>
      </c>
      <c r="AR18" s="43">
        <v>3276</v>
      </c>
      <c r="AS18" s="43">
        <v>137110</v>
      </c>
      <c r="AT18" s="37">
        <v>0</v>
      </c>
      <c r="AU18" s="43">
        <v>207472</v>
      </c>
      <c r="AV18" s="43">
        <v>90950</v>
      </c>
      <c r="AW18" s="43">
        <v>83706</v>
      </c>
      <c r="AX18" s="43">
        <v>8230</v>
      </c>
      <c r="AY18" s="43">
        <v>96634</v>
      </c>
      <c r="AZ18" s="37">
        <v>0</v>
      </c>
      <c r="BA18" s="43">
        <v>56457</v>
      </c>
      <c r="BB18" s="43">
        <v>34663</v>
      </c>
      <c r="BC18" s="43">
        <v>32429</v>
      </c>
      <c r="BD18" s="43">
        <v>94766</v>
      </c>
      <c r="BE18" s="43">
        <v>202987</v>
      </c>
      <c r="BF18" s="43">
        <v>319939</v>
      </c>
      <c r="BG18" s="43">
        <v>291151</v>
      </c>
      <c r="BH18" s="43">
        <v>71375</v>
      </c>
      <c r="BI18" s="43">
        <v>52929</v>
      </c>
      <c r="BJ18" s="43">
        <v>11840</v>
      </c>
      <c r="BK18" s="43">
        <v>37614</v>
      </c>
      <c r="BL18" s="37">
        <v>0</v>
      </c>
      <c r="BM18" s="43">
        <v>54313</v>
      </c>
      <c r="BN18" s="43">
        <v>46965</v>
      </c>
      <c r="BO18" s="43">
        <v>227298</v>
      </c>
      <c r="BP18" s="43">
        <v>114820</v>
      </c>
      <c r="BQ18" s="43">
        <v>234050</v>
      </c>
      <c r="BR18" s="43">
        <v>2012</v>
      </c>
      <c r="BS18" s="37">
        <v>0</v>
      </c>
      <c r="BT18" s="43">
        <v>25619</v>
      </c>
      <c r="BU18" s="43">
        <v>103290</v>
      </c>
      <c r="BV18" s="43">
        <v>190978</v>
      </c>
      <c r="BW18" s="43">
        <v>204928</v>
      </c>
      <c r="BX18" s="43">
        <v>60928</v>
      </c>
      <c r="BY18" s="43">
        <v>74623</v>
      </c>
      <c r="BZ18" s="37">
        <v>0</v>
      </c>
      <c r="CA18" s="44">
        <f t="shared" si="4"/>
        <v>7290059</v>
      </c>
    </row>
    <row r="19" spans="1:79" x14ac:dyDescent="0.25">
      <c r="A19" s="57" t="s">
        <v>601</v>
      </c>
      <c r="B19" s="57" t="s">
        <v>302</v>
      </c>
      <c r="C19" s="43">
        <v>5446</v>
      </c>
      <c r="D19" s="43">
        <v>736085</v>
      </c>
      <c r="E19" s="43">
        <v>10973</v>
      </c>
      <c r="F19" s="43">
        <v>154259</v>
      </c>
      <c r="G19" s="43">
        <v>17057</v>
      </c>
      <c r="H19" s="43">
        <v>150725</v>
      </c>
      <c r="I19" s="43">
        <v>13461</v>
      </c>
      <c r="J19" s="43">
        <v>241299</v>
      </c>
      <c r="K19" s="43">
        <v>10809</v>
      </c>
      <c r="L19" s="43">
        <v>16460</v>
      </c>
      <c r="M19" s="37">
        <v>0</v>
      </c>
      <c r="N19" s="43">
        <v>741332</v>
      </c>
      <c r="O19" s="43">
        <v>1313026</v>
      </c>
      <c r="P19" s="43">
        <v>17431</v>
      </c>
      <c r="Q19" s="43">
        <v>1111801</v>
      </c>
      <c r="R19" s="43">
        <v>95924</v>
      </c>
      <c r="S19" s="43">
        <v>18352</v>
      </c>
      <c r="T19" s="37">
        <v>0</v>
      </c>
      <c r="V19" s="43">
        <v>7120</v>
      </c>
      <c r="W19" s="43">
        <v>953094</v>
      </c>
      <c r="X19" s="37">
        <v>519</v>
      </c>
      <c r="Y19" s="43">
        <v>36686</v>
      </c>
      <c r="Z19" s="43">
        <v>251023</v>
      </c>
      <c r="AA19" s="37">
        <v>0</v>
      </c>
      <c r="AB19" s="37">
        <v>0</v>
      </c>
      <c r="AC19" s="43">
        <v>110535</v>
      </c>
      <c r="AD19" s="43">
        <v>180820</v>
      </c>
      <c r="AE19" s="37">
        <v>0</v>
      </c>
      <c r="AF19" s="43">
        <v>57429</v>
      </c>
      <c r="AG19" s="43">
        <v>2971</v>
      </c>
      <c r="AH19" s="43">
        <v>426177</v>
      </c>
      <c r="AI19" s="43">
        <v>1314693</v>
      </c>
      <c r="AJ19" s="43">
        <v>107648</v>
      </c>
      <c r="AK19" s="43">
        <v>1804</v>
      </c>
      <c r="AL19" s="43">
        <v>8398</v>
      </c>
      <c r="AM19" s="44">
        <v>32920</v>
      </c>
      <c r="AN19" s="43">
        <v>1127299</v>
      </c>
      <c r="AP19" s="43">
        <v>301426</v>
      </c>
      <c r="AQ19" s="43">
        <v>75884</v>
      </c>
      <c r="AR19" s="37">
        <v>0</v>
      </c>
      <c r="AS19" s="43">
        <v>22137</v>
      </c>
      <c r="AT19" s="37">
        <v>0</v>
      </c>
      <c r="AU19" s="43">
        <v>608376</v>
      </c>
      <c r="AV19" s="43">
        <v>144449</v>
      </c>
      <c r="AW19" s="43">
        <v>5188</v>
      </c>
      <c r="AX19" s="43">
        <v>31151</v>
      </c>
      <c r="AY19" s="43">
        <v>548140</v>
      </c>
      <c r="AZ19" s="37">
        <v>0</v>
      </c>
      <c r="BA19" s="43">
        <v>58776</v>
      </c>
      <c r="BB19" s="37">
        <v>200</v>
      </c>
      <c r="BC19" s="43">
        <v>48080</v>
      </c>
      <c r="BD19" s="43">
        <v>376693</v>
      </c>
      <c r="BE19" s="37">
        <v>0</v>
      </c>
      <c r="BF19" s="43">
        <v>445811</v>
      </c>
      <c r="BG19" s="43">
        <v>2091237</v>
      </c>
      <c r="BH19" s="43">
        <v>550770</v>
      </c>
      <c r="BI19" s="43">
        <v>51910</v>
      </c>
      <c r="BJ19" s="43">
        <v>4000</v>
      </c>
      <c r="BK19" s="43">
        <v>7088</v>
      </c>
      <c r="BL19" s="37">
        <v>0</v>
      </c>
      <c r="BM19" s="43">
        <v>41718</v>
      </c>
      <c r="BN19" s="43">
        <v>3944</v>
      </c>
      <c r="BO19" s="43">
        <v>362435</v>
      </c>
      <c r="BP19" s="43">
        <v>1233438</v>
      </c>
      <c r="BQ19" s="43">
        <v>397035</v>
      </c>
      <c r="BR19" s="43">
        <v>3924</v>
      </c>
      <c r="BS19" s="43">
        <v>410149</v>
      </c>
      <c r="BT19" s="43">
        <v>43086</v>
      </c>
      <c r="BU19" s="43">
        <v>204602</v>
      </c>
      <c r="BV19" s="43">
        <v>567189</v>
      </c>
      <c r="BW19" s="43">
        <v>534628</v>
      </c>
      <c r="BX19" s="43">
        <v>124418</v>
      </c>
      <c r="BY19" s="43">
        <v>23269</v>
      </c>
      <c r="BZ19" s="37">
        <v>0</v>
      </c>
      <c r="CA19" s="44">
        <f t="shared" si="4"/>
        <v>18594727</v>
      </c>
    </row>
    <row r="20" spans="1:79" x14ac:dyDescent="0.25">
      <c r="A20" s="57" t="s">
        <v>602</v>
      </c>
      <c r="B20" s="57" t="s">
        <v>603</v>
      </c>
      <c r="C20" s="43">
        <v>404075</v>
      </c>
      <c r="D20" s="43">
        <v>3168021</v>
      </c>
      <c r="E20" s="43">
        <v>132698</v>
      </c>
      <c r="F20" s="43">
        <v>1181534</v>
      </c>
      <c r="G20" s="43">
        <v>604921</v>
      </c>
      <c r="H20" s="43">
        <v>302644</v>
      </c>
      <c r="I20" s="43">
        <v>365115</v>
      </c>
      <c r="J20" s="43">
        <v>1654607</v>
      </c>
      <c r="K20" s="43">
        <v>341942</v>
      </c>
      <c r="L20" s="43">
        <v>528748</v>
      </c>
      <c r="M20" s="43">
        <v>36370</v>
      </c>
      <c r="N20" s="43">
        <v>3888199</v>
      </c>
      <c r="O20" s="43">
        <v>5016159</v>
      </c>
      <c r="P20" s="43">
        <v>227747</v>
      </c>
      <c r="Q20" s="43">
        <v>5705886</v>
      </c>
      <c r="R20" s="43">
        <v>1065894</v>
      </c>
      <c r="S20" s="43">
        <v>504173</v>
      </c>
      <c r="T20" s="43">
        <v>528590</v>
      </c>
      <c r="V20" s="43">
        <v>627223</v>
      </c>
      <c r="W20" s="43">
        <v>1006654</v>
      </c>
      <c r="X20" s="43">
        <v>194097</v>
      </c>
      <c r="Y20" s="43">
        <v>1138</v>
      </c>
      <c r="Z20" s="43">
        <v>4356440</v>
      </c>
      <c r="AA20" s="43">
        <v>337166</v>
      </c>
      <c r="AB20" s="43">
        <v>390983</v>
      </c>
      <c r="AC20" s="43">
        <v>591994</v>
      </c>
      <c r="AD20" s="43">
        <v>917636</v>
      </c>
      <c r="AE20" s="43">
        <v>50361</v>
      </c>
      <c r="AF20" s="43">
        <v>297226</v>
      </c>
      <c r="AG20" s="43">
        <v>315119</v>
      </c>
      <c r="AH20" s="43">
        <v>1200106</v>
      </c>
      <c r="AI20" s="43">
        <v>10468659</v>
      </c>
      <c r="AJ20" s="43">
        <v>990323</v>
      </c>
      <c r="AK20" s="43">
        <v>160694</v>
      </c>
      <c r="AL20" s="43">
        <v>132806</v>
      </c>
      <c r="AM20" s="44">
        <v>265894</v>
      </c>
      <c r="AN20" s="43">
        <v>5673470</v>
      </c>
      <c r="AP20" s="43">
        <v>1765473</v>
      </c>
      <c r="AQ20" s="43">
        <v>1666274</v>
      </c>
      <c r="AR20" s="43">
        <v>828286</v>
      </c>
      <c r="AS20" s="43">
        <v>530618</v>
      </c>
      <c r="AT20" s="43">
        <v>135766</v>
      </c>
      <c r="AU20" s="43">
        <v>4648471</v>
      </c>
      <c r="AV20" s="43">
        <v>1468996</v>
      </c>
      <c r="AW20" s="43">
        <v>420580</v>
      </c>
      <c r="AX20" s="43">
        <v>724501</v>
      </c>
      <c r="AY20" s="43">
        <v>2940548</v>
      </c>
      <c r="AZ20" s="43">
        <v>48135</v>
      </c>
      <c r="BA20" s="43">
        <v>635335</v>
      </c>
      <c r="BB20" s="43">
        <v>395220</v>
      </c>
      <c r="BC20" s="43">
        <v>921635</v>
      </c>
      <c r="BD20" s="43">
        <v>2227608</v>
      </c>
      <c r="BE20" s="43">
        <v>1624335</v>
      </c>
      <c r="BF20" s="43">
        <v>2235467</v>
      </c>
      <c r="BG20" s="43">
        <v>2893399</v>
      </c>
      <c r="BH20" s="43">
        <v>3877610</v>
      </c>
      <c r="BI20" s="43">
        <v>393331</v>
      </c>
      <c r="BJ20" s="43">
        <v>635533</v>
      </c>
      <c r="BK20" s="43">
        <v>1425707</v>
      </c>
      <c r="BL20" s="43">
        <v>413484</v>
      </c>
      <c r="BM20" s="43">
        <v>481486</v>
      </c>
      <c r="BN20" s="43">
        <v>1723249</v>
      </c>
      <c r="BO20" s="43">
        <v>1703666</v>
      </c>
      <c r="BP20" s="43">
        <v>1413649</v>
      </c>
      <c r="BQ20" s="43">
        <v>2593603</v>
      </c>
      <c r="BR20" s="43">
        <v>639076</v>
      </c>
      <c r="BS20" s="43">
        <v>230778</v>
      </c>
      <c r="BT20" s="43">
        <v>652244</v>
      </c>
      <c r="BU20" s="43">
        <v>1395416</v>
      </c>
      <c r="BV20" s="43">
        <v>2898749</v>
      </c>
      <c r="BW20" s="43">
        <v>1936800</v>
      </c>
      <c r="BX20" s="43">
        <v>1632264</v>
      </c>
      <c r="BY20" s="43">
        <v>3451247</v>
      </c>
      <c r="BZ20" s="37">
        <v>177</v>
      </c>
      <c r="CA20" s="44">
        <f t="shared" si="4"/>
        <v>107244028</v>
      </c>
    </row>
    <row r="21" spans="1:79" x14ac:dyDescent="0.25">
      <c r="A21" s="57" t="s">
        <v>604</v>
      </c>
      <c r="B21" s="57" t="s">
        <v>300</v>
      </c>
      <c r="C21" s="43">
        <v>821557</v>
      </c>
      <c r="D21" s="43">
        <v>8735795</v>
      </c>
      <c r="E21" s="43">
        <v>359460</v>
      </c>
      <c r="F21" s="43">
        <v>6133310</v>
      </c>
      <c r="G21" s="43">
        <v>2202577</v>
      </c>
      <c r="H21" s="43">
        <v>1285990</v>
      </c>
      <c r="I21" s="43">
        <v>1096670</v>
      </c>
      <c r="J21" s="43">
        <v>4733921</v>
      </c>
      <c r="K21" s="43">
        <v>724340</v>
      </c>
      <c r="L21" s="43">
        <v>814802</v>
      </c>
      <c r="M21" s="43">
        <v>1683480</v>
      </c>
      <c r="N21" s="43">
        <v>14910898</v>
      </c>
      <c r="O21" s="43">
        <v>18472248</v>
      </c>
      <c r="P21" s="43">
        <v>1488320</v>
      </c>
      <c r="Q21" s="43">
        <v>22087319</v>
      </c>
      <c r="R21" s="43">
        <v>3442422</v>
      </c>
      <c r="S21" s="43">
        <v>1775518</v>
      </c>
      <c r="T21" s="43">
        <v>2533711</v>
      </c>
      <c r="V21" s="43">
        <v>2179493</v>
      </c>
      <c r="W21" s="43">
        <v>4593847</v>
      </c>
      <c r="X21" s="43">
        <v>423463</v>
      </c>
      <c r="Y21" s="43">
        <v>999136</v>
      </c>
      <c r="Z21" s="43">
        <v>6735716</v>
      </c>
      <c r="AA21" s="43">
        <v>939636</v>
      </c>
      <c r="AB21" s="43">
        <v>1671408</v>
      </c>
      <c r="AC21" s="43">
        <v>1124126</v>
      </c>
      <c r="AD21" s="43">
        <v>7424328</v>
      </c>
      <c r="AE21" s="43">
        <v>560393</v>
      </c>
      <c r="AF21" s="43">
        <v>1172431</v>
      </c>
      <c r="AG21" s="43">
        <v>586395</v>
      </c>
      <c r="AH21" s="43">
        <v>4781122</v>
      </c>
      <c r="AI21" s="43">
        <v>33161638</v>
      </c>
      <c r="AJ21" s="43">
        <v>4658165</v>
      </c>
      <c r="AK21" s="43">
        <v>713736</v>
      </c>
      <c r="AL21" s="43">
        <v>493981</v>
      </c>
      <c r="AM21" s="44">
        <v>824012</v>
      </c>
      <c r="AN21" s="43">
        <v>37597375</v>
      </c>
      <c r="AP21" s="43">
        <v>5694275</v>
      </c>
      <c r="AQ21" s="43">
        <v>9006118</v>
      </c>
      <c r="AR21" s="43">
        <v>3514496</v>
      </c>
      <c r="AS21" s="43">
        <v>1483979</v>
      </c>
      <c r="AT21" s="43">
        <v>406625</v>
      </c>
      <c r="AU21" s="43">
        <v>13571079</v>
      </c>
      <c r="AV21" s="43">
        <v>4353637</v>
      </c>
      <c r="AW21" s="43">
        <v>683752</v>
      </c>
      <c r="AX21" s="43">
        <v>2467963</v>
      </c>
      <c r="AY21" s="43">
        <v>6915826</v>
      </c>
      <c r="AZ21" s="43">
        <v>534127</v>
      </c>
      <c r="BA21" s="43">
        <v>1221335</v>
      </c>
      <c r="BB21" s="43">
        <v>836778</v>
      </c>
      <c r="BC21" s="43">
        <v>2373591</v>
      </c>
      <c r="BD21" s="43">
        <v>8536948</v>
      </c>
      <c r="BE21" s="43">
        <v>6359995</v>
      </c>
      <c r="BF21" s="43">
        <v>7540271</v>
      </c>
      <c r="BG21" s="43">
        <v>10500871</v>
      </c>
      <c r="BH21" s="43">
        <v>10014867</v>
      </c>
      <c r="BI21" s="43">
        <v>1289515</v>
      </c>
      <c r="BJ21" s="43">
        <v>2261051</v>
      </c>
      <c r="BK21" s="43">
        <v>5061345</v>
      </c>
      <c r="BL21" s="43">
        <v>1289689</v>
      </c>
      <c r="BM21" s="43">
        <v>874002</v>
      </c>
      <c r="BN21" s="43">
        <v>5420928</v>
      </c>
      <c r="BO21" s="43">
        <v>5630557</v>
      </c>
      <c r="BP21" s="43">
        <v>2954603</v>
      </c>
      <c r="BQ21" s="43">
        <v>7596055</v>
      </c>
      <c r="BR21" s="43">
        <v>2144317</v>
      </c>
      <c r="BS21" s="43">
        <v>1888339</v>
      </c>
      <c r="BT21" s="43">
        <v>3729119</v>
      </c>
      <c r="BU21" s="43">
        <v>2820329</v>
      </c>
      <c r="BV21" s="43">
        <v>7112391</v>
      </c>
      <c r="BW21" s="43">
        <v>7854448</v>
      </c>
      <c r="BX21" s="43">
        <v>9671948</v>
      </c>
      <c r="BY21" s="43">
        <v>13664892</v>
      </c>
      <c r="BZ21" s="43">
        <v>1137705</v>
      </c>
      <c r="CA21" s="44">
        <f t="shared" si="4"/>
        <v>382360505</v>
      </c>
    </row>
    <row r="22" spans="1:79" x14ac:dyDescent="0.25">
      <c r="A22" s="57" t="s">
        <v>605</v>
      </c>
      <c r="B22" s="57" t="s">
        <v>296</v>
      </c>
      <c r="C22" s="43">
        <v>29647</v>
      </c>
      <c r="D22" s="43">
        <v>778679</v>
      </c>
      <c r="E22" s="37">
        <v>0</v>
      </c>
      <c r="F22" s="43">
        <v>733638</v>
      </c>
      <c r="G22" s="43">
        <v>30318</v>
      </c>
      <c r="H22" s="43">
        <v>16136</v>
      </c>
      <c r="I22" s="43">
        <v>218443</v>
      </c>
      <c r="J22" s="43">
        <v>1194447</v>
      </c>
      <c r="K22" s="43">
        <v>46886</v>
      </c>
      <c r="L22" s="37">
        <v>0</v>
      </c>
      <c r="M22" s="37">
        <v>0</v>
      </c>
      <c r="N22" s="43">
        <v>1889928</v>
      </c>
      <c r="O22" s="43">
        <v>1277048</v>
      </c>
      <c r="P22" s="43">
        <v>13829</v>
      </c>
      <c r="Q22" s="43">
        <v>1726122</v>
      </c>
      <c r="R22" s="43">
        <v>116397</v>
      </c>
      <c r="S22" s="43">
        <v>208832</v>
      </c>
      <c r="T22" s="43">
        <v>104050</v>
      </c>
      <c r="V22" s="43">
        <v>72232</v>
      </c>
      <c r="W22" s="43">
        <v>379976</v>
      </c>
      <c r="X22" s="37">
        <v>0</v>
      </c>
      <c r="Y22" s="37">
        <v>0</v>
      </c>
      <c r="Z22" s="43">
        <v>358088</v>
      </c>
      <c r="AA22" s="37">
        <v>0</v>
      </c>
      <c r="AB22" s="43">
        <v>58763</v>
      </c>
      <c r="AC22" s="43">
        <v>102858</v>
      </c>
      <c r="AD22" s="43">
        <v>1134287</v>
      </c>
      <c r="AE22" s="37">
        <v>0</v>
      </c>
      <c r="AF22" s="43">
        <v>77091</v>
      </c>
      <c r="AG22" s="43">
        <v>8657</v>
      </c>
      <c r="AH22" s="43">
        <v>300185</v>
      </c>
      <c r="AI22" s="43">
        <v>5963717</v>
      </c>
      <c r="AJ22" s="43">
        <v>82369</v>
      </c>
      <c r="AK22" s="43">
        <v>7780</v>
      </c>
      <c r="AL22" s="37">
        <v>0</v>
      </c>
      <c r="AM22" s="44">
        <v>0</v>
      </c>
      <c r="AN22" s="43">
        <v>2521040</v>
      </c>
      <c r="AP22" s="43">
        <v>534565</v>
      </c>
      <c r="AQ22" s="43">
        <v>874831</v>
      </c>
      <c r="AR22" s="43">
        <v>42802</v>
      </c>
      <c r="AS22" s="43">
        <v>24030</v>
      </c>
      <c r="AT22" s="43">
        <v>96317</v>
      </c>
      <c r="AU22" s="43">
        <v>1360293</v>
      </c>
      <c r="AV22" s="43">
        <v>833924</v>
      </c>
      <c r="AW22" s="43">
        <v>27997</v>
      </c>
      <c r="AX22" s="43">
        <v>18788</v>
      </c>
      <c r="AY22" s="43">
        <v>736830</v>
      </c>
      <c r="AZ22" s="43">
        <v>2914</v>
      </c>
      <c r="BA22" s="43">
        <v>50855</v>
      </c>
      <c r="BB22" s="43">
        <v>32768</v>
      </c>
      <c r="BC22" s="43">
        <v>95472</v>
      </c>
      <c r="BD22" s="43">
        <v>1101489</v>
      </c>
      <c r="BE22" s="43">
        <v>1450233</v>
      </c>
      <c r="BF22" s="43">
        <v>439191</v>
      </c>
      <c r="BG22" s="43">
        <v>3679123</v>
      </c>
      <c r="BH22" s="43">
        <v>2145378</v>
      </c>
      <c r="BI22" s="43">
        <v>8593</v>
      </c>
      <c r="BJ22" s="37">
        <v>0</v>
      </c>
      <c r="BK22" s="43">
        <v>494434</v>
      </c>
      <c r="BL22" s="43">
        <v>101022</v>
      </c>
      <c r="BM22" s="43">
        <v>21511</v>
      </c>
      <c r="BN22" s="43">
        <v>885854</v>
      </c>
      <c r="BO22" s="43">
        <v>1209022</v>
      </c>
      <c r="BP22" s="43">
        <v>3352935</v>
      </c>
      <c r="BQ22" s="43">
        <v>531541</v>
      </c>
      <c r="BR22" s="43">
        <v>23769</v>
      </c>
      <c r="BS22" s="43">
        <v>15555</v>
      </c>
      <c r="BT22" s="43">
        <v>598267</v>
      </c>
      <c r="BU22" s="43">
        <v>64931</v>
      </c>
      <c r="BV22" s="43">
        <v>1671083</v>
      </c>
      <c r="BW22" s="43">
        <v>650242</v>
      </c>
      <c r="BX22" s="37">
        <v>0</v>
      </c>
      <c r="BY22" s="43">
        <v>274131</v>
      </c>
      <c r="BZ22" s="37">
        <v>0</v>
      </c>
      <c r="CA22" s="44">
        <f t="shared" si="4"/>
        <v>42902133</v>
      </c>
    </row>
    <row r="23" spans="1:79" x14ac:dyDescent="0.25">
      <c r="A23" s="57" t="s">
        <v>606</v>
      </c>
      <c r="B23" s="57" t="s">
        <v>607</v>
      </c>
      <c r="C23" s="43">
        <v>1877</v>
      </c>
      <c r="D23" s="37">
        <v>0</v>
      </c>
      <c r="E23" s="37">
        <v>0</v>
      </c>
      <c r="F23" s="43">
        <v>2659463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3">
        <v>630983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V23" s="37">
        <v>0</v>
      </c>
      <c r="W23" s="37">
        <v>0</v>
      </c>
      <c r="X23" s="37">
        <v>0</v>
      </c>
      <c r="Y23" s="37">
        <v>0</v>
      </c>
      <c r="Z23" s="43">
        <v>639493</v>
      </c>
      <c r="AA23" s="37">
        <v>0</v>
      </c>
      <c r="AB23" s="43">
        <v>37669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44">
        <v>0</v>
      </c>
      <c r="AN23" s="43">
        <v>5905157</v>
      </c>
      <c r="AP23" s="37">
        <v>0</v>
      </c>
      <c r="AQ23" s="37">
        <v>0</v>
      </c>
      <c r="AR23" s="43">
        <v>95732</v>
      </c>
      <c r="AS23" s="37">
        <v>0</v>
      </c>
      <c r="AT23" s="37">
        <v>0</v>
      </c>
      <c r="AU23" s="43">
        <v>8685880</v>
      </c>
      <c r="AV23" s="37">
        <v>0</v>
      </c>
      <c r="AW23" s="43">
        <v>122356</v>
      </c>
      <c r="AX23" s="37">
        <v>0</v>
      </c>
      <c r="AY23" s="43">
        <v>1634847</v>
      </c>
      <c r="AZ23" s="37">
        <v>161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43">
        <v>487277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43">
        <v>109395</v>
      </c>
      <c r="BP23" s="43">
        <v>98943</v>
      </c>
      <c r="BQ23" s="43">
        <v>35353</v>
      </c>
      <c r="BR23" s="37">
        <v>0</v>
      </c>
      <c r="BS23" s="37">
        <v>0</v>
      </c>
      <c r="BT23" s="37">
        <v>0</v>
      </c>
      <c r="BU23" s="37">
        <v>0</v>
      </c>
      <c r="BV23" s="37">
        <v>0</v>
      </c>
      <c r="BW23" s="37">
        <v>0</v>
      </c>
      <c r="BX23" s="43">
        <v>516924</v>
      </c>
      <c r="BY23" s="43">
        <v>40940</v>
      </c>
      <c r="BZ23" s="43">
        <v>61217</v>
      </c>
      <c r="CA23" s="44">
        <f t="shared" si="4"/>
        <v>21763667</v>
      </c>
    </row>
    <row r="24" spans="1:79" x14ac:dyDescent="0.25">
      <c r="A24" s="57" t="s">
        <v>608</v>
      </c>
      <c r="B24" s="57" t="s">
        <v>609</v>
      </c>
      <c r="AM24" s="44"/>
      <c r="CA24" s="44">
        <f t="shared" si="4"/>
        <v>0</v>
      </c>
    </row>
    <row r="25" spans="1:79" x14ac:dyDescent="0.25">
      <c r="A25" s="57" t="s">
        <v>610</v>
      </c>
      <c r="B25" s="57" t="s">
        <v>611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43">
        <v>7623</v>
      </c>
      <c r="I25" s="37">
        <v>0</v>
      </c>
      <c r="J25" s="43">
        <v>91189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903</v>
      </c>
      <c r="V25" s="37">
        <v>0</v>
      </c>
      <c r="W25" s="43">
        <v>320605</v>
      </c>
      <c r="X25" s="37">
        <v>0</v>
      </c>
      <c r="Y25" s="37">
        <v>823</v>
      </c>
      <c r="Z25" s="43">
        <v>80442</v>
      </c>
      <c r="AA25" s="37">
        <v>-256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44">
        <v>516</v>
      </c>
      <c r="AN25" s="43">
        <v>44425</v>
      </c>
      <c r="AP25" s="37">
        <v>0</v>
      </c>
      <c r="AQ25" s="37">
        <v>0</v>
      </c>
      <c r="AR25" s="37">
        <v>0</v>
      </c>
      <c r="AS25" s="37">
        <v>0</v>
      </c>
      <c r="AT25" s="43">
        <v>34165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37">
        <v>0</v>
      </c>
      <c r="BW25" s="43">
        <v>103668</v>
      </c>
      <c r="BX25" s="43">
        <v>357089</v>
      </c>
      <c r="BY25" s="37">
        <v>0</v>
      </c>
      <c r="BZ25" s="37">
        <v>0</v>
      </c>
      <c r="CA25" s="44">
        <f t="shared" si="4"/>
        <v>1041192</v>
      </c>
    </row>
    <row r="26" spans="1:79" x14ac:dyDescent="0.25">
      <c r="A26" s="57" t="s">
        <v>612</v>
      </c>
      <c r="B26" s="57" t="s">
        <v>613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607</v>
      </c>
      <c r="O26" s="37">
        <v>0</v>
      </c>
      <c r="P26" s="43">
        <v>270928</v>
      </c>
      <c r="Q26" s="43">
        <v>3779369</v>
      </c>
      <c r="R26" s="37">
        <v>0</v>
      </c>
      <c r="S26" s="37">
        <v>0</v>
      </c>
      <c r="T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44">
        <v>16739</v>
      </c>
      <c r="AN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43">
        <v>314507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43">
        <v>17251</v>
      </c>
      <c r="BI26" s="37">
        <v>0</v>
      </c>
      <c r="BJ26" s="37">
        <v>0</v>
      </c>
      <c r="BK26" s="37">
        <v>0</v>
      </c>
      <c r="BL26" s="37">
        <v>0</v>
      </c>
      <c r="BM26" s="37">
        <v>405</v>
      </c>
      <c r="BN26" s="37">
        <v>0</v>
      </c>
      <c r="BO26" s="37">
        <v>0</v>
      </c>
      <c r="BP26" s="37">
        <v>0</v>
      </c>
      <c r="BQ26" s="37">
        <v>0</v>
      </c>
      <c r="BR26" s="43">
        <v>146843</v>
      </c>
      <c r="BS26" s="37">
        <v>0</v>
      </c>
      <c r="BT26" s="37">
        <v>0</v>
      </c>
      <c r="BU26" s="37">
        <v>0</v>
      </c>
      <c r="BV26" s="37">
        <v>0</v>
      </c>
      <c r="BW26" s="37">
        <v>0</v>
      </c>
      <c r="BX26" s="37">
        <v>0</v>
      </c>
      <c r="BY26" s="37">
        <v>0</v>
      </c>
      <c r="BZ26" s="37">
        <v>0</v>
      </c>
      <c r="CA26" s="44">
        <f t="shared" si="4"/>
        <v>4546649</v>
      </c>
    </row>
    <row r="27" spans="1:79" x14ac:dyDescent="0.25">
      <c r="A27" s="57" t="s">
        <v>614</v>
      </c>
      <c r="B27" s="57" t="s">
        <v>615</v>
      </c>
      <c r="C27" s="37">
        <v>0</v>
      </c>
      <c r="D27" s="43">
        <v>424930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43">
        <v>20021</v>
      </c>
      <c r="M27" s="37">
        <v>0</v>
      </c>
      <c r="N27" s="43">
        <v>1312</v>
      </c>
      <c r="O27" s="37">
        <v>0</v>
      </c>
      <c r="P27" s="43">
        <v>4091</v>
      </c>
      <c r="Q27" s="37">
        <v>0</v>
      </c>
      <c r="R27" s="43">
        <v>115482</v>
      </c>
      <c r="S27" s="37">
        <v>0</v>
      </c>
      <c r="T27" s="37">
        <v>0</v>
      </c>
      <c r="V27" s="37">
        <v>0</v>
      </c>
      <c r="W27" s="43">
        <v>203108</v>
      </c>
      <c r="X27" s="37">
        <v>0</v>
      </c>
      <c r="Y27" s="37">
        <v>0</v>
      </c>
      <c r="Z27" s="43">
        <v>967057</v>
      </c>
      <c r="AA27" s="43">
        <v>20974</v>
      </c>
      <c r="AB27" s="37">
        <v>0</v>
      </c>
      <c r="AC27" s="43">
        <v>61143</v>
      </c>
      <c r="AD27" s="37">
        <v>0</v>
      </c>
      <c r="AE27" s="37">
        <v>0</v>
      </c>
      <c r="AF27" s="37">
        <v>0</v>
      </c>
      <c r="AG27" s="37">
        <v>0</v>
      </c>
      <c r="AH27" s="43">
        <v>118426</v>
      </c>
      <c r="AI27" s="37">
        <v>0</v>
      </c>
      <c r="AJ27" s="43">
        <v>29582</v>
      </c>
      <c r="AK27" s="37">
        <v>0</v>
      </c>
      <c r="AL27" s="43">
        <v>65869</v>
      </c>
      <c r="AM27" s="44">
        <v>65203</v>
      </c>
      <c r="AN27" s="37">
        <v>0</v>
      </c>
      <c r="AP27" s="37">
        <v>0</v>
      </c>
      <c r="AQ27" s="43">
        <v>39916</v>
      </c>
      <c r="AR27" s="37">
        <v>0</v>
      </c>
      <c r="AS27" s="37">
        <v>0</v>
      </c>
      <c r="AT27" s="37">
        <v>0</v>
      </c>
      <c r="AU27" s="43">
        <v>998779</v>
      </c>
      <c r="AV27" s="43">
        <v>692116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43">
        <v>3623</v>
      </c>
      <c r="BF27" s="43">
        <v>60419</v>
      </c>
      <c r="BG27" s="37">
        <v>0</v>
      </c>
      <c r="BH27" s="43">
        <v>280832</v>
      </c>
      <c r="BI27" s="43">
        <v>96373</v>
      </c>
      <c r="BJ27" s="37">
        <v>0</v>
      </c>
      <c r="BK27" s="37">
        <v>0</v>
      </c>
      <c r="BL27" s="43">
        <v>90863</v>
      </c>
      <c r="BM27" s="43">
        <v>51304</v>
      </c>
      <c r="BN27" s="37">
        <v>0</v>
      </c>
      <c r="BO27" s="37">
        <v>0</v>
      </c>
      <c r="BP27" s="37">
        <v>0</v>
      </c>
      <c r="BQ27" s="43">
        <v>547160</v>
      </c>
      <c r="BR27" s="43">
        <v>490645</v>
      </c>
      <c r="BS27" s="37">
        <v>0</v>
      </c>
      <c r="BT27" s="43">
        <v>572437</v>
      </c>
      <c r="BU27" s="37">
        <v>0</v>
      </c>
      <c r="BV27" s="43">
        <v>12547</v>
      </c>
      <c r="BW27" s="43">
        <v>174526</v>
      </c>
      <c r="BX27" s="43">
        <v>25885</v>
      </c>
      <c r="BY27" s="37">
        <v>0</v>
      </c>
      <c r="BZ27" s="37">
        <v>0</v>
      </c>
      <c r="CA27" s="44">
        <f t="shared" si="4"/>
        <v>6234623</v>
      </c>
    </row>
    <row r="28" spans="1:79" x14ac:dyDescent="0.25">
      <c r="A28" s="57" t="s">
        <v>616</v>
      </c>
      <c r="B28" s="57" t="s">
        <v>617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44">
        <v>90</v>
      </c>
      <c r="AN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43">
        <v>244657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44">
        <f t="shared" si="4"/>
        <v>244747</v>
      </c>
    </row>
    <row r="29" spans="1:79" x14ac:dyDescent="0.25">
      <c r="A29" s="57" t="s">
        <v>618</v>
      </c>
      <c r="B29" s="57" t="s">
        <v>619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3">
        <v>96432</v>
      </c>
      <c r="M29" s="37">
        <v>0</v>
      </c>
      <c r="N29" s="43">
        <v>165531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43">
        <v>189524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43">
        <v>100145</v>
      </c>
      <c r="AJ29" s="43">
        <v>3483</v>
      </c>
      <c r="AK29" s="37">
        <v>0</v>
      </c>
      <c r="AL29" s="37">
        <v>0</v>
      </c>
      <c r="AM29" s="44">
        <v>0</v>
      </c>
      <c r="AN29" s="37">
        <v>0</v>
      </c>
      <c r="AP29" s="43">
        <v>92145</v>
      </c>
      <c r="AQ29" s="37">
        <v>0</v>
      </c>
      <c r="AR29" s="43">
        <v>33337</v>
      </c>
      <c r="AS29" s="37">
        <v>0</v>
      </c>
      <c r="AT29" s="37">
        <v>0</v>
      </c>
      <c r="AU29" s="43">
        <v>29938</v>
      </c>
      <c r="AV29" s="37">
        <v>0</v>
      </c>
      <c r="AW29" s="37">
        <v>0</v>
      </c>
      <c r="AX29" s="37">
        <v>0</v>
      </c>
      <c r="AY29" s="43">
        <v>119093</v>
      </c>
      <c r="AZ29" s="37">
        <v>0</v>
      </c>
      <c r="BA29" s="37">
        <v>0</v>
      </c>
      <c r="BB29" s="37">
        <v>0</v>
      </c>
      <c r="BC29" s="43">
        <v>70206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0</v>
      </c>
      <c r="BV29" s="37">
        <v>0</v>
      </c>
      <c r="BW29" s="43">
        <v>150542</v>
      </c>
      <c r="BX29" s="37">
        <v>0</v>
      </c>
      <c r="BY29" s="37">
        <v>0</v>
      </c>
      <c r="BZ29" s="37">
        <v>0</v>
      </c>
      <c r="CA29" s="44">
        <f t="shared" si="4"/>
        <v>1050376</v>
      </c>
    </row>
    <row r="30" spans="1:79" x14ac:dyDescent="0.25">
      <c r="A30" s="57" t="s">
        <v>620</v>
      </c>
      <c r="B30" s="57" t="s">
        <v>621</v>
      </c>
      <c r="C30" s="37">
        <v>0</v>
      </c>
      <c r="D30" s="43">
        <v>174405</v>
      </c>
      <c r="E30" s="37">
        <v>0</v>
      </c>
      <c r="F30" s="37">
        <v>0</v>
      </c>
      <c r="G30" s="37">
        <v>0</v>
      </c>
      <c r="H30" s="43">
        <v>2858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43">
        <v>5420</v>
      </c>
      <c r="R30" s="37">
        <v>0</v>
      </c>
      <c r="S30" s="43">
        <v>292836</v>
      </c>
      <c r="T30" s="37">
        <v>0</v>
      </c>
      <c r="V30" s="43">
        <v>449435</v>
      </c>
      <c r="W30" s="37">
        <v>0</v>
      </c>
      <c r="X30" s="37">
        <v>0</v>
      </c>
      <c r="Y30" s="43">
        <v>10151</v>
      </c>
      <c r="Z30" s="43">
        <v>76673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43">
        <v>7200</v>
      </c>
      <c r="AL30" s="37">
        <v>0</v>
      </c>
      <c r="AM30" s="44">
        <v>16739</v>
      </c>
      <c r="AN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43">
        <v>658835</v>
      </c>
      <c r="AV30" s="37">
        <v>0</v>
      </c>
      <c r="AW30" s="43">
        <v>285943</v>
      </c>
      <c r="AX30" s="37">
        <v>0</v>
      </c>
      <c r="AY30" s="43">
        <v>58200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43">
        <v>164529</v>
      </c>
      <c r="BF30" s="43">
        <v>121980</v>
      </c>
      <c r="BG30" s="37">
        <v>0</v>
      </c>
      <c r="BH30" s="43">
        <v>23051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43">
        <v>64101</v>
      </c>
      <c r="BS30" s="37">
        <v>0</v>
      </c>
      <c r="BT30" s="37">
        <v>0</v>
      </c>
      <c r="BU30" s="37">
        <v>0</v>
      </c>
      <c r="BV30" s="43">
        <v>75476</v>
      </c>
      <c r="BW30" s="43">
        <v>84757</v>
      </c>
      <c r="BX30" s="37">
        <v>0</v>
      </c>
      <c r="BY30" s="37">
        <v>0</v>
      </c>
      <c r="BZ30" s="37">
        <v>0</v>
      </c>
      <c r="CA30" s="44">
        <f t="shared" si="4"/>
        <v>2572589</v>
      </c>
    </row>
    <row r="31" spans="1:79" x14ac:dyDescent="0.25">
      <c r="A31" s="57" t="s">
        <v>622</v>
      </c>
      <c r="B31" s="57" t="s">
        <v>623</v>
      </c>
      <c r="C31" s="43">
        <v>118366</v>
      </c>
      <c r="D31" s="43">
        <v>1146797</v>
      </c>
      <c r="E31" s="43">
        <v>142844</v>
      </c>
      <c r="F31" s="43">
        <v>279391</v>
      </c>
      <c r="G31" s="43">
        <v>95826</v>
      </c>
      <c r="H31" s="43">
        <v>92461</v>
      </c>
      <c r="I31" s="43">
        <v>27086</v>
      </c>
      <c r="J31" s="43">
        <v>388583</v>
      </c>
      <c r="K31" s="43">
        <v>53007</v>
      </c>
      <c r="L31" s="43">
        <v>1040</v>
      </c>
      <c r="M31" s="37">
        <v>0</v>
      </c>
      <c r="N31" s="43">
        <v>1729701</v>
      </c>
      <c r="O31" s="43">
        <v>2187845</v>
      </c>
      <c r="P31" s="37">
        <v>0</v>
      </c>
      <c r="Q31" s="43">
        <v>71702</v>
      </c>
      <c r="R31" s="43">
        <v>540639</v>
      </c>
      <c r="S31" s="37">
        <v>0</v>
      </c>
      <c r="T31" s="43">
        <v>163353</v>
      </c>
      <c r="V31" s="43">
        <v>127239</v>
      </c>
      <c r="W31" s="43">
        <v>325876</v>
      </c>
      <c r="X31" s="37">
        <v>0</v>
      </c>
      <c r="Y31" s="43">
        <v>67306</v>
      </c>
      <c r="Z31" s="43">
        <v>495323</v>
      </c>
      <c r="AA31" s="43">
        <v>8036</v>
      </c>
      <c r="AB31" s="43">
        <v>278724</v>
      </c>
      <c r="AC31" s="43">
        <v>212481</v>
      </c>
      <c r="AD31" s="43">
        <v>1273044</v>
      </c>
      <c r="AE31" s="37">
        <v>0</v>
      </c>
      <c r="AF31" s="37">
        <v>0</v>
      </c>
      <c r="AG31" s="37">
        <v>0</v>
      </c>
      <c r="AH31" s="43">
        <v>405382</v>
      </c>
      <c r="AI31" s="43">
        <v>5047445</v>
      </c>
      <c r="AJ31" s="43">
        <v>227923</v>
      </c>
      <c r="AK31" s="43">
        <v>143516</v>
      </c>
      <c r="AL31" s="43">
        <v>104593</v>
      </c>
      <c r="AM31" s="44">
        <v>64404</v>
      </c>
      <c r="AN31" s="43">
        <v>3628331</v>
      </c>
      <c r="AP31" s="43">
        <v>530964</v>
      </c>
      <c r="AQ31" s="43">
        <v>560670</v>
      </c>
      <c r="AR31" s="43">
        <v>141711</v>
      </c>
      <c r="AS31" s="43">
        <v>170725</v>
      </c>
      <c r="AT31" s="43">
        <v>84749</v>
      </c>
      <c r="AU31" s="43">
        <v>1518876</v>
      </c>
      <c r="AV31" s="43">
        <v>1026041</v>
      </c>
      <c r="AW31" s="43">
        <v>11147</v>
      </c>
      <c r="AX31" s="43">
        <v>281734</v>
      </c>
      <c r="AY31" s="43">
        <v>2153869</v>
      </c>
      <c r="AZ31" s="43">
        <v>71481</v>
      </c>
      <c r="BA31" s="43">
        <v>191899</v>
      </c>
      <c r="BB31" s="43">
        <v>394106</v>
      </c>
      <c r="BC31" s="43">
        <v>123921</v>
      </c>
      <c r="BD31" s="43">
        <v>1451150</v>
      </c>
      <c r="BE31" s="37">
        <v>0</v>
      </c>
      <c r="BF31" s="43">
        <v>403530</v>
      </c>
      <c r="BG31" s="43">
        <v>1358583</v>
      </c>
      <c r="BH31" s="43">
        <v>1939214</v>
      </c>
      <c r="BI31" s="43">
        <v>103495</v>
      </c>
      <c r="BJ31" s="43">
        <v>133537</v>
      </c>
      <c r="BK31" s="43">
        <v>490715</v>
      </c>
      <c r="BL31" s="37">
        <v>0</v>
      </c>
      <c r="BM31" s="43">
        <v>30867</v>
      </c>
      <c r="BN31" s="43">
        <v>931414</v>
      </c>
      <c r="BO31" s="43">
        <v>983716</v>
      </c>
      <c r="BP31" s="43">
        <v>705477</v>
      </c>
      <c r="BQ31" s="43">
        <v>1015049</v>
      </c>
      <c r="BR31" s="37">
        <v>0</v>
      </c>
      <c r="BS31" s="43">
        <v>84049</v>
      </c>
      <c r="BT31" s="37">
        <v>0</v>
      </c>
      <c r="BU31" s="43">
        <v>896303</v>
      </c>
      <c r="BV31" s="43">
        <v>828047</v>
      </c>
      <c r="BW31" s="43">
        <v>1123484</v>
      </c>
      <c r="BX31" s="37">
        <v>0</v>
      </c>
      <c r="BY31" s="37">
        <v>0</v>
      </c>
      <c r="BZ31" s="37">
        <v>0</v>
      </c>
      <c r="CA31" s="44">
        <f t="shared" si="4"/>
        <v>39188787</v>
      </c>
    </row>
    <row r="32" spans="1:79" x14ac:dyDescent="0.25">
      <c r="A32" s="57" t="s">
        <v>624</v>
      </c>
      <c r="B32" s="57" t="s">
        <v>625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V32" s="37">
        <v>0</v>
      </c>
      <c r="W32" s="37">
        <v>0</v>
      </c>
      <c r="X32" s="37">
        <v>492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43">
        <v>77296</v>
      </c>
      <c r="AG32" s="37">
        <v>0</v>
      </c>
      <c r="AH32" s="37">
        <v>0</v>
      </c>
      <c r="AI32" s="37">
        <v>0</v>
      </c>
      <c r="AJ32" s="37">
        <v>0</v>
      </c>
      <c r="AK32" s="43">
        <v>9044</v>
      </c>
      <c r="AL32" s="37">
        <v>0</v>
      </c>
      <c r="AM32" s="44">
        <v>0</v>
      </c>
      <c r="AN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43">
        <v>2493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43">
        <v>546770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43">
        <v>40795</v>
      </c>
      <c r="BV32" s="37">
        <v>0</v>
      </c>
      <c r="BW32" s="37">
        <v>0</v>
      </c>
      <c r="BX32" s="37">
        <v>0</v>
      </c>
      <c r="BY32" s="37">
        <v>0</v>
      </c>
      <c r="BZ32" s="37">
        <v>0</v>
      </c>
      <c r="CA32" s="44">
        <f t="shared" si="4"/>
        <v>676890</v>
      </c>
    </row>
    <row r="33" spans="1:79" x14ac:dyDescent="0.25">
      <c r="A33" s="57" t="s">
        <v>626</v>
      </c>
      <c r="B33" s="57" t="s">
        <v>627</v>
      </c>
      <c r="C33" s="37">
        <v>0</v>
      </c>
      <c r="D33" s="43">
        <v>997450</v>
      </c>
      <c r="E33" s="43">
        <v>231158</v>
      </c>
      <c r="F33" s="43">
        <v>1172056</v>
      </c>
      <c r="G33" s="37">
        <v>0</v>
      </c>
      <c r="H33" s="43">
        <v>95162</v>
      </c>
      <c r="I33" s="43">
        <v>534765</v>
      </c>
      <c r="J33" s="43">
        <v>458425</v>
      </c>
      <c r="K33" s="43">
        <v>223944</v>
      </c>
      <c r="L33" s="37">
        <v>0</v>
      </c>
      <c r="M33" s="37">
        <v>195</v>
      </c>
      <c r="N33" s="43">
        <v>7363514</v>
      </c>
      <c r="O33" s="43">
        <v>2609340</v>
      </c>
      <c r="P33" s="37">
        <v>0</v>
      </c>
      <c r="Q33" s="43">
        <v>19305394</v>
      </c>
      <c r="R33" s="43">
        <v>1171581</v>
      </c>
      <c r="S33" s="37">
        <v>0</v>
      </c>
      <c r="T33" s="43">
        <v>349506</v>
      </c>
      <c r="V33" s="43">
        <v>49037</v>
      </c>
      <c r="W33" s="37">
        <v>0</v>
      </c>
      <c r="X33" s="43">
        <v>253577</v>
      </c>
      <c r="Y33" s="37">
        <v>0</v>
      </c>
      <c r="Z33" s="37">
        <v>119</v>
      </c>
      <c r="AA33" s="37">
        <v>0</v>
      </c>
      <c r="AB33" s="43">
        <v>117450</v>
      </c>
      <c r="AC33" s="43">
        <v>526388</v>
      </c>
      <c r="AD33" s="37">
        <v>374</v>
      </c>
      <c r="AE33" s="37">
        <v>0</v>
      </c>
      <c r="AF33" s="37">
        <v>0</v>
      </c>
      <c r="AG33" s="37">
        <v>0</v>
      </c>
      <c r="AH33" s="37">
        <v>0</v>
      </c>
      <c r="AI33" s="43">
        <v>11457931</v>
      </c>
      <c r="AJ33" s="37">
        <v>0</v>
      </c>
      <c r="AK33" s="37">
        <v>0</v>
      </c>
      <c r="AL33" s="37">
        <v>0</v>
      </c>
      <c r="AM33" s="44">
        <v>92112</v>
      </c>
      <c r="AN33" s="43">
        <v>8349921</v>
      </c>
      <c r="AP33" s="43">
        <v>16409</v>
      </c>
      <c r="AQ33" s="43">
        <v>1397608</v>
      </c>
      <c r="AR33" s="43">
        <v>102569</v>
      </c>
      <c r="AS33" s="43">
        <v>335832</v>
      </c>
      <c r="AT33" s="37">
        <v>0</v>
      </c>
      <c r="AU33" s="43">
        <v>2817707</v>
      </c>
      <c r="AV33" s="43">
        <v>547502</v>
      </c>
      <c r="AW33" s="37">
        <v>0</v>
      </c>
      <c r="AX33" s="43">
        <v>1200398</v>
      </c>
      <c r="AY33" s="43">
        <v>1743399</v>
      </c>
      <c r="AZ33" s="37">
        <v>0</v>
      </c>
      <c r="BA33" s="43">
        <v>7833</v>
      </c>
      <c r="BB33" s="37">
        <v>0</v>
      </c>
      <c r="BC33" s="43">
        <v>35237</v>
      </c>
      <c r="BD33" s="43">
        <v>19088</v>
      </c>
      <c r="BE33" s="37">
        <v>0</v>
      </c>
      <c r="BF33" s="43">
        <v>1569440</v>
      </c>
      <c r="BG33" s="43">
        <v>4486658</v>
      </c>
      <c r="BH33" s="43">
        <v>1549786</v>
      </c>
      <c r="BI33" s="37">
        <v>0</v>
      </c>
      <c r="BJ33" s="43">
        <v>192545</v>
      </c>
      <c r="BK33" s="43">
        <v>2376714</v>
      </c>
      <c r="BL33" s="43">
        <v>167836</v>
      </c>
      <c r="BM33" s="43">
        <v>239857</v>
      </c>
      <c r="BN33" s="43">
        <v>603113</v>
      </c>
      <c r="BO33" s="43">
        <v>743688</v>
      </c>
      <c r="BP33" s="37">
        <v>288</v>
      </c>
      <c r="BQ33" s="43">
        <v>6360</v>
      </c>
      <c r="BR33" s="43">
        <v>639124</v>
      </c>
      <c r="BS33" s="43">
        <v>19231</v>
      </c>
      <c r="BT33" s="43">
        <v>49045</v>
      </c>
      <c r="BU33" s="43">
        <v>2217523</v>
      </c>
      <c r="BV33" s="43">
        <v>1268740</v>
      </c>
      <c r="BW33" s="43">
        <v>154798</v>
      </c>
      <c r="BX33" s="43">
        <v>702611</v>
      </c>
      <c r="BY33" s="43">
        <v>495947</v>
      </c>
      <c r="BZ33" s="43">
        <v>314032</v>
      </c>
      <c r="CA33" s="44">
        <f t="shared" si="4"/>
        <v>81380317</v>
      </c>
    </row>
    <row r="34" spans="1:79" x14ac:dyDescent="0.25">
      <c r="A34" s="57" t="s">
        <v>628</v>
      </c>
      <c r="B34" s="57" t="s">
        <v>212</v>
      </c>
      <c r="AM34" s="44"/>
      <c r="CA34" s="44">
        <f t="shared" si="4"/>
        <v>0</v>
      </c>
    </row>
    <row r="35" spans="1:79" x14ac:dyDescent="0.25">
      <c r="A35" s="57" t="s">
        <v>629</v>
      </c>
      <c r="B35" s="57" t="s">
        <v>630</v>
      </c>
      <c r="C35" s="37">
        <v>0</v>
      </c>
      <c r="D35" s="43">
        <v>550947</v>
      </c>
      <c r="E35" s="37">
        <v>0</v>
      </c>
      <c r="F35" s="43">
        <v>317944</v>
      </c>
      <c r="G35" s="43">
        <v>184456</v>
      </c>
      <c r="H35" s="43">
        <v>96041</v>
      </c>
      <c r="I35" s="43">
        <v>128891</v>
      </c>
      <c r="J35" s="43">
        <v>680459</v>
      </c>
      <c r="K35" s="43">
        <v>93627</v>
      </c>
      <c r="L35" s="37">
        <v>0</v>
      </c>
      <c r="M35" s="43">
        <v>92976</v>
      </c>
      <c r="N35" s="43">
        <v>3532875</v>
      </c>
      <c r="O35" s="43">
        <v>166179</v>
      </c>
      <c r="P35" s="43">
        <v>2805</v>
      </c>
      <c r="Q35" s="43">
        <v>5260385</v>
      </c>
      <c r="R35" s="43">
        <v>601293</v>
      </c>
      <c r="S35" s="43">
        <v>179225</v>
      </c>
      <c r="T35" s="43">
        <v>302505</v>
      </c>
      <c r="V35" s="43">
        <v>84736</v>
      </c>
      <c r="W35" s="43">
        <v>7449</v>
      </c>
      <c r="X35" s="43">
        <v>83402</v>
      </c>
      <c r="Y35" s="43">
        <v>95064</v>
      </c>
      <c r="Z35" s="43">
        <v>25729</v>
      </c>
      <c r="AA35" s="43">
        <v>1882</v>
      </c>
      <c r="AB35" s="43">
        <v>281254</v>
      </c>
      <c r="AC35" s="43">
        <v>227873</v>
      </c>
      <c r="AD35" s="43">
        <v>920576</v>
      </c>
      <c r="AE35" s="43">
        <v>46000</v>
      </c>
      <c r="AF35" s="43">
        <v>68642</v>
      </c>
      <c r="AG35" s="43">
        <v>24582</v>
      </c>
      <c r="AH35" s="43">
        <v>3420396</v>
      </c>
      <c r="AI35" s="43">
        <v>8590267</v>
      </c>
      <c r="AJ35" s="43">
        <v>664366</v>
      </c>
      <c r="AK35" s="43">
        <v>79546</v>
      </c>
      <c r="AL35" s="43">
        <v>330378</v>
      </c>
      <c r="AM35" s="44">
        <v>0</v>
      </c>
      <c r="AN35" s="43">
        <v>12120147</v>
      </c>
      <c r="AP35" s="43">
        <v>930273</v>
      </c>
      <c r="AQ35" s="43">
        <v>898589</v>
      </c>
      <c r="AR35" s="43">
        <v>23633</v>
      </c>
      <c r="AS35" s="43">
        <v>101462</v>
      </c>
      <c r="AT35" s="43">
        <v>108241</v>
      </c>
      <c r="AU35" s="43">
        <v>2519355</v>
      </c>
      <c r="AV35" s="43">
        <v>528449</v>
      </c>
      <c r="AW35" s="37">
        <v>953</v>
      </c>
      <c r="AX35" s="43">
        <v>19226</v>
      </c>
      <c r="AY35" s="43">
        <v>1503230</v>
      </c>
      <c r="AZ35" s="37">
        <v>0</v>
      </c>
      <c r="BA35" s="43">
        <v>41479</v>
      </c>
      <c r="BB35" s="43">
        <v>34371</v>
      </c>
      <c r="BC35" s="43">
        <v>157584</v>
      </c>
      <c r="BD35" s="43">
        <v>737753</v>
      </c>
      <c r="BE35" s="43">
        <v>587775</v>
      </c>
      <c r="BF35" s="43">
        <v>1091771</v>
      </c>
      <c r="BG35" s="43">
        <v>7472560</v>
      </c>
      <c r="BH35" s="43">
        <v>1235997</v>
      </c>
      <c r="BI35" s="43">
        <v>19681</v>
      </c>
      <c r="BJ35" s="43">
        <v>314259</v>
      </c>
      <c r="BK35" s="43">
        <v>426428</v>
      </c>
      <c r="BL35" s="43">
        <v>107062</v>
      </c>
      <c r="BM35" s="43">
        <v>114265</v>
      </c>
      <c r="BN35" s="43">
        <v>479906</v>
      </c>
      <c r="BO35" s="43">
        <v>1426753</v>
      </c>
      <c r="BP35" s="43">
        <v>712829</v>
      </c>
      <c r="BQ35" s="43">
        <v>627752</v>
      </c>
      <c r="BR35" s="43">
        <v>91770</v>
      </c>
      <c r="BS35" s="43">
        <v>12907</v>
      </c>
      <c r="BT35" s="43">
        <v>330389</v>
      </c>
      <c r="BU35" s="43">
        <v>57723</v>
      </c>
      <c r="BV35" s="43">
        <v>781537</v>
      </c>
      <c r="BW35" s="43">
        <v>961677</v>
      </c>
      <c r="BX35" s="43">
        <v>88217</v>
      </c>
      <c r="BY35" s="43">
        <v>352789</v>
      </c>
      <c r="BZ35" s="37">
        <v>0</v>
      </c>
      <c r="CA35" s="44">
        <f t="shared" si="4"/>
        <v>64161542</v>
      </c>
    </row>
    <row r="36" spans="1:79" x14ac:dyDescent="0.25">
      <c r="A36" s="57" t="s">
        <v>631</v>
      </c>
      <c r="B36" s="57" t="s">
        <v>632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43">
        <v>18956</v>
      </c>
      <c r="S36" s="37">
        <v>0</v>
      </c>
      <c r="T36" s="37">
        <v>0</v>
      </c>
      <c r="V36" s="37">
        <v>0</v>
      </c>
      <c r="W36" s="43">
        <v>54599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128</v>
      </c>
      <c r="AM36" s="44">
        <v>0</v>
      </c>
      <c r="AN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43">
        <v>5385259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43">
        <v>38379</v>
      </c>
      <c r="BQ36" s="37">
        <v>0</v>
      </c>
      <c r="BR36" s="37">
        <v>355</v>
      </c>
      <c r="BS36" s="37">
        <v>0</v>
      </c>
      <c r="BT36" s="37">
        <v>0</v>
      </c>
      <c r="BU36" s="37">
        <v>0</v>
      </c>
      <c r="BV36" s="37">
        <v>0</v>
      </c>
      <c r="BW36" s="43">
        <v>90565</v>
      </c>
      <c r="BX36" s="37">
        <v>0</v>
      </c>
      <c r="BY36" s="37">
        <v>0</v>
      </c>
      <c r="BZ36" s="37">
        <v>0</v>
      </c>
      <c r="CA36" s="44">
        <f t="shared" si="4"/>
        <v>5588241</v>
      </c>
    </row>
    <row r="37" spans="1:79" x14ac:dyDescent="0.25">
      <c r="A37" s="57" t="s">
        <v>633</v>
      </c>
      <c r="B37" s="57" t="s">
        <v>634</v>
      </c>
      <c r="C37" s="37">
        <v>0</v>
      </c>
      <c r="D37" s="37">
        <v>0</v>
      </c>
      <c r="E37" s="37">
        <v>0</v>
      </c>
      <c r="F37" s="43">
        <v>4400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3">
        <v>9940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V37" s="37">
        <v>0</v>
      </c>
      <c r="W37" s="37">
        <v>0</v>
      </c>
      <c r="X37" s="37">
        <v>0</v>
      </c>
      <c r="Y37" s="37">
        <v>0</v>
      </c>
      <c r="Z37" s="43">
        <v>19984</v>
      </c>
      <c r="AA37" s="37">
        <v>0</v>
      </c>
      <c r="AB37" s="37">
        <v>0</v>
      </c>
      <c r="AC37" s="37">
        <v>0</v>
      </c>
      <c r="AD37" s="43">
        <v>6198</v>
      </c>
      <c r="AE37" s="37">
        <v>0</v>
      </c>
      <c r="AF37" s="37">
        <v>0</v>
      </c>
      <c r="AG37" s="37">
        <v>0</v>
      </c>
      <c r="AH37" s="43">
        <v>604110</v>
      </c>
      <c r="AI37" s="43">
        <v>60049</v>
      </c>
      <c r="AJ37" s="37">
        <v>0</v>
      </c>
      <c r="AK37" s="37">
        <v>0</v>
      </c>
      <c r="AL37" s="37">
        <v>0</v>
      </c>
      <c r="AM37" s="44">
        <v>0</v>
      </c>
      <c r="AN37" s="43">
        <v>538077</v>
      </c>
      <c r="AP37" s="37">
        <v>0</v>
      </c>
      <c r="AQ37" s="37">
        <v>974</v>
      </c>
      <c r="AR37" s="37">
        <v>0</v>
      </c>
      <c r="AS37" s="37">
        <v>0</v>
      </c>
      <c r="AT37" s="37">
        <v>0</v>
      </c>
      <c r="AU37" s="43">
        <v>7793</v>
      </c>
      <c r="AV37" s="37">
        <v>0</v>
      </c>
      <c r="AW37" s="37">
        <v>0</v>
      </c>
      <c r="AX37" s="37">
        <v>0</v>
      </c>
      <c r="AY37" s="43">
        <v>299814</v>
      </c>
      <c r="AZ37" s="37">
        <v>0</v>
      </c>
      <c r="BA37" s="43">
        <v>1878</v>
      </c>
      <c r="BB37" s="37">
        <v>0</v>
      </c>
      <c r="BC37" s="37">
        <v>0</v>
      </c>
      <c r="BD37" s="43">
        <v>1836</v>
      </c>
      <c r="BE37" s="37">
        <v>0</v>
      </c>
      <c r="BF37" s="43">
        <v>48705</v>
      </c>
      <c r="BG37" s="43">
        <v>1004529</v>
      </c>
      <c r="BH37" s="43">
        <v>9521</v>
      </c>
      <c r="BI37" s="37">
        <v>0</v>
      </c>
      <c r="BJ37" s="43">
        <v>380332</v>
      </c>
      <c r="BK37" s="43">
        <v>5009</v>
      </c>
      <c r="BL37" s="37">
        <v>0</v>
      </c>
      <c r="BM37" s="37">
        <v>0</v>
      </c>
      <c r="BN37" s="43">
        <v>5601</v>
      </c>
      <c r="BO37" s="43">
        <v>1017148</v>
      </c>
      <c r="BP37" s="43">
        <v>18876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44">
        <f t="shared" si="4"/>
        <v>4044774</v>
      </c>
    </row>
    <row r="38" spans="1:79" x14ac:dyDescent="0.25">
      <c r="A38" s="57" t="s">
        <v>635</v>
      </c>
      <c r="B38" s="57" t="s">
        <v>636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43">
        <v>119945</v>
      </c>
      <c r="O38" s="37">
        <v>0</v>
      </c>
      <c r="P38" s="37">
        <v>0</v>
      </c>
      <c r="Q38" s="43">
        <v>118376</v>
      </c>
      <c r="R38" s="43">
        <v>129528</v>
      </c>
      <c r="S38" s="37">
        <v>0</v>
      </c>
      <c r="T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43">
        <v>2053975</v>
      </c>
      <c r="AE38" s="37">
        <v>0</v>
      </c>
      <c r="AF38" s="43">
        <v>28369</v>
      </c>
      <c r="AG38" s="37">
        <v>0</v>
      </c>
      <c r="AH38" s="37">
        <v>0</v>
      </c>
      <c r="AI38" s="43">
        <v>587195</v>
      </c>
      <c r="AJ38" s="37">
        <v>0</v>
      </c>
      <c r="AK38" s="37">
        <v>0</v>
      </c>
      <c r="AL38" s="37">
        <v>0</v>
      </c>
      <c r="AM38" s="44">
        <v>0</v>
      </c>
      <c r="AN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43">
        <v>490386</v>
      </c>
      <c r="AV38" s="37">
        <v>0</v>
      </c>
      <c r="AW38" s="37">
        <v>0</v>
      </c>
      <c r="AX38" s="37">
        <v>0</v>
      </c>
      <c r="AY38" s="43">
        <v>27555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43">
        <v>26607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43">
        <v>25341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37">
        <v>0</v>
      </c>
      <c r="CA38" s="44">
        <f t="shared" si="4"/>
        <v>3607277</v>
      </c>
    </row>
    <row r="39" spans="1:79" x14ac:dyDescent="0.25">
      <c r="A39" s="57" t="s">
        <v>637</v>
      </c>
      <c r="B39" s="57" t="s">
        <v>292</v>
      </c>
      <c r="C39" s="43">
        <v>45750</v>
      </c>
      <c r="D39" s="43">
        <v>702846</v>
      </c>
      <c r="E39" s="43">
        <v>6892</v>
      </c>
      <c r="F39" s="43">
        <v>146541</v>
      </c>
      <c r="G39" s="43">
        <v>12769</v>
      </c>
      <c r="H39" s="43">
        <v>17264</v>
      </c>
      <c r="I39" s="43">
        <v>6796</v>
      </c>
      <c r="J39" s="43">
        <v>109684</v>
      </c>
      <c r="K39" s="43">
        <v>24519</v>
      </c>
      <c r="L39" s="43">
        <v>28259</v>
      </c>
      <c r="M39" s="43">
        <v>1496</v>
      </c>
      <c r="N39" s="43">
        <v>178680</v>
      </c>
      <c r="O39" s="43">
        <v>309136</v>
      </c>
      <c r="P39" s="43">
        <v>32299</v>
      </c>
      <c r="Q39" s="43">
        <v>337161</v>
      </c>
      <c r="R39" s="43">
        <v>180724</v>
      </c>
      <c r="S39" s="43">
        <v>28151</v>
      </c>
      <c r="T39" s="43">
        <v>26935</v>
      </c>
      <c r="V39" s="43">
        <v>22410</v>
      </c>
      <c r="W39" s="43">
        <v>191901</v>
      </c>
      <c r="X39" s="43">
        <v>9079</v>
      </c>
      <c r="Y39" s="43">
        <v>63372</v>
      </c>
      <c r="Z39" s="43">
        <v>524412</v>
      </c>
      <c r="AA39" s="43">
        <v>122767</v>
      </c>
      <c r="AB39" s="43">
        <v>34001</v>
      </c>
      <c r="AC39" s="43">
        <v>50151</v>
      </c>
      <c r="AD39" s="43">
        <v>553085</v>
      </c>
      <c r="AE39" s="43">
        <v>6041</v>
      </c>
      <c r="AF39" s="37">
        <v>0</v>
      </c>
      <c r="AG39" s="43">
        <v>17191</v>
      </c>
      <c r="AH39" s="43">
        <v>218722</v>
      </c>
      <c r="AI39" s="43">
        <v>2338085</v>
      </c>
      <c r="AJ39" s="43">
        <v>195135</v>
      </c>
      <c r="AK39" s="43">
        <v>4424</v>
      </c>
      <c r="AL39" s="43">
        <v>32573</v>
      </c>
      <c r="AM39" s="44">
        <v>8114</v>
      </c>
      <c r="AN39" s="43">
        <v>751917</v>
      </c>
      <c r="AP39" s="43">
        <v>39002</v>
      </c>
      <c r="AQ39" s="43">
        <v>348445</v>
      </c>
      <c r="AR39" s="43">
        <v>110597</v>
      </c>
      <c r="AS39" s="43">
        <v>108601</v>
      </c>
      <c r="AT39" s="43">
        <v>9047</v>
      </c>
      <c r="AU39" s="43">
        <v>660258</v>
      </c>
      <c r="AV39" s="43">
        <v>856997</v>
      </c>
      <c r="AW39" s="43">
        <v>8864</v>
      </c>
      <c r="AX39" s="43">
        <v>16971</v>
      </c>
      <c r="AY39" s="43">
        <v>237452</v>
      </c>
      <c r="AZ39" s="43">
        <v>13355</v>
      </c>
      <c r="BA39" s="43">
        <v>48936</v>
      </c>
      <c r="BB39" s="43">
        <v>88803</v>
      </c>
      <c r="BC39" s="43">
        <v>84092</v>
      </c>
      <c r="BD39" s="43">
        <v>165691</v>
      </c>
      <c r="BE39" s="43">
        <v>273671</v>
      </c>
      <c r="BF39" s="43">
        <v>222320</v>
      </c>
      <c r="BG39" s="43">
        <v>134572</v>
      </c>
      <c r="BH39" s="43">
        <v>503612</v>
      </c>
      <c r="BI39" s="43">
        <v>5363</v>
      </c>
      <c r="BJ39" s="43">
        <v>85114</v>
      </c>
      <c r="BK39" s="43">
        <v>83473</v>
      </c>
      <c r="BL39" s="43">
        <v>20513</v>
      </c>
      <c r="BM39" s="43">
        <v>38795</v>
      </c>
      <c r="BN39" s="43">
        <v>183841</v>
      </c>
      <c r="BO39" s="43">
        <v>185377</v>
      </c>
      <c r="BP39" s="43">
        <v>226388</v>
      </c>
      <c r="BQ39" s="43">
        <v>340736</v>
      </c>
      <c r="BR39" s="43">
        <v>59519</v>
      </c>
      <c r="BS39" s="43">
        <v>48945</v>
      </c>
      <c r="BT39" s="43">
        <v>141986</v>
      </c>
      <c r="BU39" s="43">
        <v>25066</v>
      </c>
      <c r="BV39" s="43">
        <v>140038</v>
      </c>
      <c r="BW39" s="43">
        <v>77666</v>
      </c>
      <c r="BX39" s="43">
        <v>59856</v>
      </c>
      <c r="BY39" s="43">
        <v>4945</v>
      </c>
      <c r="BZ39" s="37">
        <v>0</v>
      </c>
      <c r="CA39" s="44">
        <f t="shared" si="4"/>
        <v>12998189</v>
      </c>
    </row>
    <row r="40" spans="1:79" x14ac:dyDescent="0.25">
      <c r="A40" s="57" t="s">
        <v>638</v>
      </c>
      <c r="B40" s="57" t="s">
        <v>639</v>
      </c>
      <c r="C40" s="43">
        <v>673015</v>
      </c>
      <c r="D40" s="43">
        <v>4166329</v>
      </c>
      <c r="E40" s="43">
        <v>360466</v>
      </c>
      <c r="F40" s="43">
        <v>686184</v>
      </c>
      <c r="G40" s="43">
        <v>507319</v>
      </c>
      <c r="H40" s="43">
        <v>753285</v>
      </c>
      <c r="I40" s="37">
        <v>0</v>
      </c>
      <c r="J40" s="43">
        <v>2237968</v>
      </c>
      <c r="K40" s="43">
        <v>241368</v>
      </c>
      <c r="L40" s="43">
        <v>200953</v>
      </c>
      <c r="M40" s="43">
        <v>261672</v>
      </c>
      <c r="N40" s="37">
        <v>0</v>
      </c>
      <c r="O40" s="43">
        <v>5660822</v>
      </c>
      <c r="P40" s="43">
        <v>717400</v>
      </c>
      <c r="Q40" s="43">
        <v>226771</v>
      </c>
      <c r="R40" s="43">
        <v>1993164</v>
      </c>
      <c r="S40" s="43">
        <v>1480513</v>
      </c>
      <c r="T40" s="43">
        <v>1040489</v>
      </c>
      <c r="V40" s="43">
        <v>1521809</v>
      </c>
      <c r="W40" s="43">
        <v>1826192</v>
      </c>
      <c r="X40" s="43">
        <v>305735</v>
      </c>
      <c r="Y40" s="43">
        <v>924886</v>
      </c>
      <c r="Z40" s="43">
        <v>2712585</v>
      </c>
      <c r="AA40" s="43">
        <v>598298</v>
      </c>
      <c r="AB40" s="43">
        <v>783166</v>
      </c>
      <c r="AC40" s="43">
        <v>654909</v>
      </c>
      <c r="AD40" s="43">
        <v>2641154</v>
      </c>
      <c r="AE40" s="43">
        <v>279891</v>
      </c>
      <c r="AF40" s="43">
        <v>1014384</v>
      </c>
      <c r="AG40" s="43">
        <v>291141</v>
      </c>
      <c r="AH40" s="43">
        <v>1952595</v>
      </c>
      <c r="AI40" s="37">
        <v>0</v>
      </c>
      <c r="AJ40" s="43">
        <v>2271574</v>
      </c>
      <c r="AK40" s="43">
        <v>230663</v>
      </c>
      <c r="AL40" s="43">
        <v>449893</v>
      </c>
      <c r="AM40" s="44">
        <v>1206450</v>
      </c>
      <c r="AN40" s="37">
        <v>0</v>
      </c>
      <c r="AP40" s="43">
        <v>2209773</v>
      </c>
      <c r="AQ40" s="43">
        <v>1239601</v>
      </c>
      <c r="AR40" s="43">
        <v>1486286</v>
      </c>
      <c r="AS40" s="43">
        <v>771055</v>
      </c>
      <c r="AT40" s="43">
        <v>564247</v>
      </c>
      <c r="AU40" s="37">
        <v>0</v>
      </c>
      <c r="AV40" s="43">
        <v>1308180</v>
      </c>
      <c r="AW40" s="43">
        <v>433810</v>
      </c>
      <c r="AX40" s="43">
        <v>1000143</v>
      </c>
      <c r="AY40" s="43">
        <v>558139</v>
      </c>
      <c r="AZ40" s="43">
        <v>128778</v>
      </c>
      <c r="BA40" s="43">
        <v>1179832</v>
      </c>
      <c r="BB40" s="43">
        <v>1129051</v>
      </c>
      <c r="BC40" s="43">
        <v>1020488</v>
      </c>
      <c r="BD40" s="43">
        <v>2633354</v>
      </c>
      <c r="BE40" s="43">
        <v>4650075</v>
      </c>
      <c r="BF40" s="43">
        <v>2515562</v>
      </c>
      <c r="BG40" s="43">
        <v>3318053</v>
      </c>
      <c r="BH40" s="43">
        <v>2960375</v>
      </c>
      <c r="BI40" s="43">
        <v>562134</v>
      </c>
      <c r="BJ40" s="37">
        <v>0</v>
      </c>
      <c r="BK40" s="37">
        <v>0</v>
      </c>
      <c r="BL40" s="43">
        <v>597456</v>
      </c>
      <c r="BM40" s="43">
        <v>840072</v>
      </c>
      <c r="BN40" s="43">
        <v>526327</v>
      </c>
      <c r="BO40" s="43">
        <v>2852496</v>
      </c>
      <c r="BP40" s="43">
        <v>2057765</v>
      </c>
      <c r="BQ40" s="43">
        <v>2985387</v>
      </c>
      <c r="BR40" s="37">
        <v>0</v>
      </c>
      <c r="BS40" s="43">
        <v>673585</v>
      </c>
      <c r="BT40" s="43">
        <v>1229703</v>
      </c>
      <c r="BU40" s="37">
        <v>0</v>
      </c>
      <c r="BV40" s="43">
        <v>1272583</v>
      </c>
      <c r="BW40" s="43">
        <v>254129</v>
      </c>
      <c r="BX40" s="43">
        <v>831993</v>
      </c>
      <c r="BY40" s="37">
        <v>0</v>
      </c>
      <c r="BZ40" s="43">
        <v>1343</v>
      </c>
      <c r="CA40" s="44">
        <f t="shared" si="4"/>
        <v>84664818</v>
      </c>
    </row>
    <row r="41" spans="1:79" x14ac:dyDescent="0.25">
      <c r="A41" s="57" t="s">
        <v>640</v>
      </c>
      <c r="B41" s="57" t="s">
        <v>641</v>
      </c>
      <c r="C41" s="37">
        <v>0</v>
      </c>
      <c r="D41" s="37">
        <v>0</v>
      </c>
      <c r="E41" s="37">
        <v>0</v>
      </c>
      <c r="F41" s="37">
        <v>0</v>
      </c>
      <c r="G41" s="43">
        <v>9391</v>
      </c>
      <c r="H41" s="37">
        <v>0</v>
      </c>
      <c r="I41" s="37">
        <v>0</v>
      </c>
      <c r="J41" s="37">
        <v>0</v>
      </c>
      <c r="K41" s="43">
        <v>4089</v>
      </c>
      <c r="L41" s="37">
        <v>0</v>
      </c>
      <c r="M41" s="37">
        <v>0</v>
      </c>
      <c r="N41" s="37">
        <v>953</v>
      </c>
      <c r="O41" s="43">
        <v>37360</v>
      </c>
      <c r="P41" s="37">
        <v>0</v>
      </c>
      <c r="Q41" s="43">
        <v>416616</v>
      </c>
      <c r="R41" s="37">
        <v>0</v>
      </c>
      <c r="S41" s="43">
        <v>9758</v>
      </c>
      <c r="T41" s="37">
        <v>0</v>
      </c>
      <c r="V41" s="37">
        <v>0</v>
      </c>
      <c r="W41" s="43">
        <v>2229</v>
      </c>
      <c r="X41" s="37">
        <v>0</v>
      </c>
      <c r="Y41" s="37">
        <v>0</v>
      </c>
      <c r="Z41" s="37">
        <v>0</v>
      </c>
      <c r="AA41" s="37">
        <v>0</v>
      </c>
      <c r="AB41" s="43">
        <v>77521</v>
      </c>
      <c r="AC41" s="43">
        <v>12244</v>
      </c>
      <c r="AD41" s="43">
        <v>72665</v>
      </c>
      <c r="AE41" s="37">
        <v>0</v>
      </c>
      <c r="AF41" s="37">
        <v>0</v>
      </c>
      <c r="AG41" s="37">
        <v>834</v>
      </c>
      <c r="AH41" s="37">
        <v>0</v>
      </c>
      <c r="AI41" s="43">
        <v>412398</v>
      </c>
      <c r="AJ41" s="37">
        <v>0</v>
      </c>
      <c r="AK41" s="37">
        <v>0</v>
      </c>
      <c r="AL41" s="43">
        <v>4228</v>
      </c>
      <c r="AM41" s="44">
        <v>0</v>
      </c>
      <c r="AN41" s="43">
        <v>54375</v>
      </c>
      <c r="AP41" s="37">
        <v>0</v>
      </c>
      <c r="AQ41" s="43">
        <v>37931</v>
      </c>
      <c r="AR41" s="43">
        <v>17185</v>
      </c>
      <c r="AS41" s="37">
        <v>640</v>
      </c>
      <c r="AT41" s="37">
        <v>0</v>
      </c>
      <c r="AU41" s="43">
        <v>208267</v>
      </c>
      <c r="AV41" s="37">
        <v>0</v>
      </c>
      <c r="AW41" s="43">
        <v>3063</v>
      </c>
      <c r="AX41" s="37">
        <v>0</v>
      </c>
      <c r="AY41" s="43">
        <v>207570</v>
      </c>
      <c r="AZ41" s="37">
        <v>0</v>
      </c>
      <c r="BA41" s="43">
        <v>14933</v>
      </c>
      <c r="BB41" s="43">
        <v>98310</v>
      </c>
      <c r="BC41" s="37">
        <v>0</v>
      </c>
      <c r="BD41" s="43">
        <v>18805</v>
      </c>
      <c r="BE41" s="43">
        <v>290693</v>
      </c>
      <c r="BF41" s="43">
        <v>445864</v>
      </c>
      <c r="BG41" s="43">
        <v>66620</v>
      </c>
      <c r="BH41" s="43">
        <v>410401</v>
      </c>
      <c r="BI41" s="37">
        <v>0</v>
      </c>
      <c r="BJ41" s="43">
        <v>261196</v>
      </c>
      <c r="BK41" s="43">
        <v>15115</v>
      </c>
      <c r="BL41" s="43">
        <v>12732</v>
      </c>
      <c r="BM41" s="43">
        <v>14783</v>
      </c>
      <c r="BN41" s="43">
        <v>9598</v>
      </c>
      <c r="BO41" s="43">
        <v>64027</v>
      </c>
      <c r="BP41" s="43">
        <v>82245</v>
      </c>
      <c r="BQ41" s="43">
        <v>98099</v>
      </c>
      <c r="BR41" s="37">
        <v>0</v>
      </c>
      <c r="BS41" s="43">
        <v>165505</v>
      </c>
      <c r="BT41" s="43">
        <v>28800</v>
      </c>
      <c r="BU41" s="37">
        <v>0</v>
      </c>
      <c r="BV41" s="43">
        <v>93845</v>
      </c>
      <c r="BW41" s="43">
        <v>41991</v>
      </c>
      <c r="BX41" s="43">
        <v>1055519</v>
      </c>
      <c r="BY41" s="43">
        <v>1479</v>
      </c>
      <c r="BZ41" s="37">
        <v>0</v>
      </c>
      <c r="CA41" s="44">
        <f t="shared" si="4"/>
        <v>4879877</v>
      </c>
    </row>
    <row r="42" spans="1:79" x14ac:dyDescent="0.25">
      <c r="A42" s="57" t="s">
        <v>642</v>
      </c>
      <c r="B42" s="57" t="s">
        <v>643</v>
      </c>
      <c r="C42" s="43">
        <v>318538</v>
      </c>
      <c r="D42" s="43">
        <v>153680</v>
      </c>
      <c r="E42" s="37">
        <v>0</v>
      </c>
      <c r="F42" s="37">
        <v>0</v>
      </c>
      <c r="G42" s="43">
        <v>5586</v>
      </c>
      <c r="H42" s="43">
        <v>32192</v>
      </c>
      <c r="I42" s="43">
        <v>288495</v>
      </c>
      <c r="J42" s="43">
        <v>9734</v>
      </c>
      <c r="K42" s="43">
        <v>1005154</v>
      </c>
      <c r="L42" s="43">
        <v>1262</v>
      </c>
      <c r="M42" s="43">
        <v>3034</v>
      </c>
      <c r="N42" s="43">
        <v>125668</v>
      </c>
      <c r="O42" s="43">
        <v>1440942</v>
      </c>
      <c r="P42" s="43">
        <v>634762</v>
      </c>
      <c r="Q42" s="43">
        <v>239883</v>
      </c>
      <c r="R42" s="43">
        <v>153405</v>
      </c>
      <c r="S42" s="43">
        <v>108536</v>
      </c>
      <c r="T42" s="43">
        <v>122649</v>
      </c>
      <c r="V42" s="43">
        <v>3087937</v>
      </c>
      <c r="W42" s="43">
        <v>32201</v>
      </c>
      <c r="X42" s="43">
        <v>66499</v>
      </c>
      <c r="Y42" s="43">
        <v>191350</v>
      </c>
      <c r="Z42" s="43">
        <v>77072</v>
      </c>
      <c r="AA42" s="43">
        <v>578923</v>
      </c>
      <c r="AB42" s="43">
        <v>30031</v>
      </c>
      <c r="AC42" s="43">
        <v>353002</v>
      </c>
      <c r="AD42" s="43">
        <v>1591783</v>
      </c>
      <c r="AE42" s="43">
        <v>1150</v>
      </c>
      <c r="AF42" s="43">
        <v>20434</v>
      </c>
      <c r="AG42" s="37">
        <v>0</v>
      </c>
      <c r="AH42" s="43">
        <v>26037</v>
      </c>
      <c r="AI42" s="43">
        <v>304466</v>
      </c>
      <c r="AJ42" s="43">
        <v>120529</v>
      </c>
      <c r="AK42" s="43">
        <v>8086</v>
      </c>
      <c r="AL42" s="37">
        <v>0</v>
      </c>
      <c r="AM42" s="44">
        <v>68434</v>
      </c>
      <c r="AN42" s="43">
        <v>21613650</v>
      </c>
      <c r="AP42" s="37">
        <v>0</v>
      </c>
      <c r="AQ42" s="43">
        <v>3068</v>
      </c>
      <c r="AR42" s="43">
        <v>530658</v>
      </c>
      <c r="AS42" s="43">
        <v>27320</v>
      </c>
      <c r="AT42" s="37">
        <v>259</v>
      </c>
      <c r="AU42" s="43">
        <v>2977371</v>
      </c>
      <c r="AV42" s="43">
        <v>10480</v>
      </c>
      <c r="AW42" s="43">
        <v>2606</v>
      </c>
      <c r="AX42" s="37">
        <v>0</v>
      </c>
      <c r="AY42" s="43">
        <v>3039129</v>
      </c>
      <c r="AZ42" s="43">
        <v>9874</v>
      </c>
      <c r="BA42" s="43">
        <v>59751</v>
      </c>
      <c r="BB42" s="43">
        <v>129338</v>
      </c>
      <c r="BC42" s="43">
        <v>38098</v>
      </c>
      <c r="BD42" s="43">
        <v>59543</v>
      </c>
      <c r="BE42" s="43">
        <v>531970</v>
      </c>
      <c r="BF42" s="37">
        <v>0</v>
      </c>
      <c r="BG42" s="43">
        <v>107101</v>
      </c>
      <c r="BH42" s="43">
        <v>55755</v>
      </c>
      <c r="BI42" s="43">
        <v>18177</v>
      </c>
      <c r="BJ42" s="43">
        <v>61346</v>
      </c>
      <c r="BK42" s="43">
        <v>139609</v>
      </c>
      <c r="BL42" s="43">
        <v>43777</v>
      </c>
      <c r="BM42" s="43">
        <v>14763</v>
      </c>
      <c r="BN42" s="43">
        <v>15944</v>
      </c>
      <c r="BO42" s="43">
        <v>59392</v>
      </c>
      <c r="BP42" s="37">
        <v>349</v>
      </c>
      <c r="BQ42" s="43">
        <v>278333</v>
      </c>
      <c r="BR42" s="43">
        <v>18357</v>
      </c>
      <c r="BS42" s="43">
        <v>29550</v>
      </c>
      <c r="BT42" s="37">
        <v>0</v>
      </c>
      <c r="BU42" s="43">
        <v>263687</v>
      </c>
      <c r="BV42" s="43">
        <v>953778</v>
      </c>
      <c r="BW42" s="43">
        <v>715440</v>
      </c>
      <c r="BX42" s="37">
        <v>0</v>
      </c>
      <c r="BY42" s="43">
        <v>10115870</v>
      </c>
      <c r="BZ42" s="37">
        <v>0</v>
      </c>
      <c r="CA42" s="44">
        <f t="shared" si="4"/>
        <v>53125797</v>
      </c>
    </row>
    <row r="43" spans="1:79" x14ac:dyDescent="0.25">
      <c r="A43" s="57" t="s">
        <v>644</v>
      </c>
      <c r="B43" s="57" t="s">
        <v>645</v>
      </c>
      <c r="C43" s="37">
        <v>0</v>
      </c>
      <c r="D43" s="43">
        <v>7175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44">
        <v>0</v>
      </c>
      <c r="AN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0</v>
      </c>
      <c r="BW43" s="37">
        <v>0</v>
      </c>
      <c r="BX43" s="43">
        <v>5038</v>
      </c>
      <c r="BY43" s="37">
        <v>0</v>
      </c>
      <c r="BZ43" s="37">
        <v>0</v>
      </c>
      <c r="CA43" s="44">
        <f t="shared" si="4"/>
        <v>12213</v>
      </c>
    </row>
    <row r="44" spans="1:79" x14ac:dyDescent="0.25">
      <c r="A44" s="57" t="s">
        <v>646</v>
      </c>
      <c r="B44" s="57" t="s">
        <v>647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44">
        <v>0</v>
      </c>
      <c r="AN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44">
        <f t="shared" si="4"/>
        <v>0</v>
      </c>
    </row>
    <row r="45" spans="1:79" x14ac:dyDescent="0.25">
      <c r="A45" s="57" t="s">
        <v>648</v>
      </c>
      <c r="B45" s="57" t="s">
        <v>649</v>
      </c>
      <c r="AM45" s="44"/>
      <c r="CA45" s="44">
        <f t="shared" si="4"/>
        <v>0</v>
      </c>
    </row>
    <row r="46" spans="1:79" x14ac:dyDescent="0.25">
      <c r="A46" s="57" t="s">
        <v>650</v>
      </c>
      <c r="B46" s="57" t="s">
        <v>312</v>
      </c>
      <c r="C46" s="43">
        <v>190320</v>
      </c>
      <c r="D46" s="43">
        <v>2274675</v>
      </c>
      <c r="E46" s="43">
        <v>43777</v>
      </c>
      <c r="F46" s="43">
        <v>599996</v>
      </c>
      <c r="G46" s="43">
        <v>169949</v>
      </c>
      <c r="H46" s="43">
        <v>276310</v>
      </c>
      <c r="I46" s="43">
        <v>179669</v>
      </c>
      <c r="J46" s="43">
        <v>489124</v>
      </c>
      <c r="K46" s="43">
        <v>77664</v>
      </c>
      <c r="L46" s="37">
        <v>0</v>
      </c>
      <c r="M46" s="37">
        <v>0</v>
      </c>
      <c r="N46" s="43">
        <v>1898125</v>
      </c>
      <c r="O46" s="43">
        <v>1401024</v>
      </c>
      <c r="P46" s="43">
        <v>345147</v>
      </c>
      <c r="Q46" s="43">
        <v>2452966</v>
      </c>
      <c r="R46" s="43">
        <v>759077</v>
      </c>
      <c r="S46" s="43">
        <v>31411</v>
      </c>
      <c r="T46" s="43">
        <v>456773</v>
      </c>
      <c r="V46" s="43">
        <v>302077</v>
      </c>
      <c r="W46" s="43">
        <v>949174</v>
      </c>
      <c r="X46" s="43">
        <v>93459</v>
      </c>
      <c r="Y46" s="43">
        <v>84145</v>
      </c>
      <c r="Z46" s="43">
        <v>1698536</v>
      </c>
      <c r="AA46" s="43">
        <v>46586</v>
      </c>
      <c r="AB46" s="43">
        <v>104193</v>
      </c>
      <c r="AC46" s="43">
        <v>101040</v>
      </c>
      <c r="AD46" s="43">
        <v>3124811</v>
      </c>
      <c r="AE46" s="37">
        <v>0</v>
      </c>
      <c r="AF46" s="43">
        <v>249252</v>
      </c>
      <c r="AG46" s="43">
        <v>91330</v>
      </c>
      <c r="AH46" s="43">
        <v>2166321</v>
      </c>
      <c r="AI46" s="43">
        <v>4946966</v>
      </c>
      <c r="AJ46" s="43">
        <v>916551</v>
      </c>
      <c r="AK46" s="43">
        <v>83299</v>
      </c>
      <c r="AL46" s="43">
        <v>40516</v>
      </c>
      <c r="AM46" s="44">
        <v>21350</v>
      </c>
      <c r="AN46" s="43">
        <v>3025924</v>
      </c>
      <c r="AP46" s="43">
        <v>635965</v>
      </c>
      <c r="AQ46" s="43">
        <v>1149811</v>
      </c>
      <c r="AR46" s="43">
        <v>121882</v>
      </c>
      <c r="AS46" s="43">
        <v>756252</v>
      </c>
      <c r="AT46" s="43">
        <v>6770</v>
      </c>
      <c r="AU46" s="43">
        <v>3056714</v>
      </c>
      <c r="AV46" s="43">
        <v>851531</v>
      </c>
      <c r="AW46" s="43">
        <v>397186</v>
      </c>
      <c r="AX46" s="43">
        <v>125829</v>
      </c>
      <c r="AY46" s="43">
        <v>1431823</v>
      </c>
      <c r="AZ46" s="43">
        <v>1939</v>
      </c>
      <c r="BA46" s="43">
        <v>289426</v>
      </c>
      <c r="BB46" s="43">
        <v>104625</v>
      </c>
      <c r="BC46" s="43">
        <v>164845</v>
      </c>
      <c r="BD46" s="43">
        <v>1902541</v>
      </c>
      <c r="BE46" s="43">
        <v>592585</v>
      </c>
      <c r="BF46" s="43">
        <v>245863</v>
      </c>
      <c r="BG46" s="43">
        <v>1249852</v>
      </c>
      <c r="BH46" s="43">
        <v>3823985</v>
      </c>
      <c r="BI46" s="43">
        <v>79981</v>
      </c>
      <c r="BJ46" s="37">
        <v>700</v>
      </c>
      <c r="BK46" s="43">
        <v>142800</v>
      </c>
      <c r="BL46" s="43">
        <v>154229</v>
      </c>
      <c r="BM46" s="43">
        <v>370644</v>
      </c>
      <c r="BN46" s="43">
        <v>555215</v>
      </c>
      <c r="BO46" s="43">
        <v>1381952</v>
      </c>
      <c r="BP46" s="43">
        <v>214943</v>
      </c>
      <c r="BQ46" s="43">
        <v>1361072</v>
      </c>
      <c r="BR46" s="43">
        <v>196645</v>
      </c>
      <c r="BS46" s="43">
        <v>121531</v>
      </c>
      <c r="BT46" s="43">
        <v>155190</v>
      </c>
      <c r="BU46" s="43">
        <v>169031</v>
      </c>
      <c r="BV46" s="43">
        <v>474779</v>
      </c>
      <c r="BW46" s="43">
        <v>4396296</v>
      </c>
      <c r="BX46" s="43">
        <v>535292</v>
      </c>
      <c r="BY46" s="43">
        <v>1784665</v>
      </c>
      <c r="BZ46" s="37">
        <v>0</v>
      </c>
      <c r="CA46" s="44">
        <f t="shared" si="4"/>
        <v>58695926</v>
      </c>
    </row>
    <row r="47" spans="1:79" x14ac:dyDescent="0.25">
      <c r="A47" s="57" t="s">
        <v>651</v>
      </c>
      <c r="B47" s="57" t="s">
        <v>316</v>
      </c>
      <c r="C47" s="43">
        <v>3913</v>
      </c>
      <c r="D47" s="37">
        <v>0</v>
      </c>
      <c r="E47" s="43">
        <v>63990</v>
      </c>
      <c r="F47" s="43">
        <v>1123003</v>
      </c>
      <c r="G47" s="43">
        <v>91828</v>
      </c>
      <c r="H47" s="43">
        <v>195803</v>
      </c>
      <c r="I47" s="43">
        <v>170200</v>
      </c>
      <c r="J47" s="43">
        <v>1573787</v>
      </c>
      <c r="K47" s="37">
        <v>0</v>
      </c>
      <c r="L47" s="37">
        <v>0</v>
      </c>
      <c r="M47" s="37">
        <v>0</v>
      </c>
      <c r="N47" s="43">
        <v>6928077</v>
      </c>
      <c r="O47" s="43">
        <v>5666154</v>
      </c>
      <c r="P47" s="37">
        <v>569</v>
      </c>
      <c r="Q47" s="43">
        <v>6272538</v>
      </c>
      <c r="R47" s="43">
        <v>567955</v>
      </c>
      <c r="S47" s="37">
        <v>0</v>
      </c>
      <c r="T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43">
        <v>235466</v>
      </c>
      <c r="AC47" s="43">
        <v>1150</v>
      </c>
      <c r="AD47" s="43">
        <v>914094</v>
      </c>
      <c r="AE47" s="37">
        <v>0</v>
      </c>
      <c r="AF47" s="43">
        <v>270890</v>
      </c>
      <c r="AG47" s="43">
        <v>1454</v>
      </c>
      <c r="AH47" s="43">
        <v>537833</v>
      </c>
      <c r="AI47" s="43">
        <v>10671857</v>
      </c>
      <c r="AJ47" s="37">
        <v>0</v>
      </c>
      <c r="AK47" s="37">
        <v>0</v>
      </c>
      <c r="AL47" s="37">
        <v>0</v>
      </c>
      <c r="AM47" s="44">
        <v>0</v>
      </c>
      <c r="AN47" s="37">
        <v>0</v>
      </c>
      <c r="AP47" s="43">
        <v>32925</v>
      </c>
      <c r="AQ47" s="43">
        <v>1114717</v>
      </c>
      <c r="AR47" s="37">
        <v>0</v>
      </c>
      <c r="AS47" s="43">
        <v>190925</v>
      </c>
      <c r="AT47" s="37">
        <v>0</v>
      </c>
      <c r="AU47" s="43">
        <v>3313063</v>
      </c>
      <c r="AV47" s="37">
        <v>0</v>
      </c>
      <c r="AW47" s="43">
        <v>224257</v>
      </c>
      <c r="AX47" s="43">
        <v>91926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43">
        <v>2762927</v>
      </c>
      <c r="BH47" s="43">
        <v>2869171</v>
      </c>
      <c r="BI47" s="37">
        <v>0</v>
      </c>
      <c r="BJ47" s="43">
        <v>640180</v>
      </c>
      <c r="BK47" s="43">
        <v>956962</v>
      </c>
      <c r="BL47" s="37">
        <v>0</v>
      </c>
      <c r="BM47" s="37">
        <v>0</v>
      </c>
      <c r="BN47" s="43">
        <v>1182898</v>
      </c>
      <c r="BO47" s="43">
        <v>2049361</v>
      </c>
      <c r="BP47" s="43">
        <v>2789</v>
      </c>
      <c r="BQ47" s="43">
        <v>668026</v>
      </c>
      <c r="BR47" s="37">
        <v>0</v>
      </c>
      <c r="BS47" s="43">
        <v>210220</v>
      </c>
      <c r="BT47" s="43">
        <v>399966</v>
      </c>
      <c r="BU47" s="37">
        <v>0</v>
      </c>
      <c r="BV47" s="37">
        <v>0</v>
      </c>
      <c r="BW47" s="43">
        <v>2359662</v>
      </c>
      <c r="BX47" s="43">
        <v>1133092</v>
      </c>
      <c r="BY47" s="43">
        <v>335663</v>
      </c>
      <c r="BZ47" s="37">
        <v>0</v>
      </c>
      <c r="CA47" s="44">
        <f t="shared" si="4"/>
        <v>55829291</v>
      </c>
    </row>
    <row r="48" spans="1:79" x14ac:dyDescent="0.25">
      <c r="A48" s="57" t="s">
        <v>652</v>
      </c>
      <c r="B48" s="57" t="s">
        <v>653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43">
        <v>1588333</v>
      </c>
      <c r="R48" s="37">
        <v>0</v>
      </c>
      <c r="S48" s="37">
        <v>0</v>
      </c>
      <c r="T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43">
        <v>81930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44">
        <v>0</v>
      </c>
      <c r="AN48" s="37">
        <v>0</v>
      </c>
      <c r="AP48" s="37">
        <v>0</v>
      </c>
      <c r="AQ48" s="37">
        <v>0</v>
      </c>
      <c r="AR48" s="43">
        <v>114014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43">
        <v>312814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43">
        <v>123693</v>
      </c>
      <c r="BN48" s="37">
        <v>0</v>
      </c>
      <c r="BO48" s="37">
        <v>0</v>
      </c>
      <c r="BP48" s="43">
        <v>331793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0</v>
      </c>
      <c r="BX48" s="37">
        <v>0</v>
      </c>
      <c r="BY48" s="43">
        <v>15295</v>
      </c>
      <c r="BZ48" s="37">
        <v>0</v>
      </c>
      <c r="CA48" s="44">
        <f t="shared" si="4"/>
        <v>2567872</v>
      </c>
    </row>
    <row r="49" spans="1:79" x14ac:dyDescent="0.25">
      <c r="A49" s="57" t="s">
        <v>654</v>
      </c>
      <c r="B49" s="57" t="s">
        <v>655</v>
      </c>
      <c r="AM49" s="44"/>
      <c r="CA49" s="44">
        <f t="shared" si="4"/>
        <v>0</v>
      </c>
    </row>
    <row r="50" spans="1:79" x14ac:dyDescent="0.25">
      <c r="A50" s="57" t="s">
        <v>656</v>
      </c>
      <c r="B50" s="57" t="s">
        <v>657</v>
      </c>
      <c r="C50" s="43">
        <v>115886</v>
      </c>
      <c r="D50" s="43">
        <v>574503</v>
      </c>
      <c r="E50" s="43">
        <v>94983</v>
      </c>
      <c r="F50" s="43">
        <v>88801</v>
      </c>
      <c r="G50" s="43">
        <v>88244</v>
      </c>
      <c r="H50" s="43">
        <v>18477</v>
      </c>
      <c r="I50" s="37">
        <v>0</v>
      </c>
      <c r="J50" s="43">
        <v>771638</v>
      </c>
      <c r="K50" s="43">
        <v>189259</v>
      </c>
      <c r="L50" s="43">
        <v>20237</v>
      </c>
      <c r="M50" s="37">
        <v>0</v>
      </c>
      <c r="N50" s="43">
        <v>972783</v>
      </c>
      <c r="O50" s="43">
        <v>272622</v>
      </c>
      <c r="P50" s="43">
        <v>82820</v>
      </c>
      <c r="Q50" s="43">
        <v>3523470</v>
      </c>
      <c r="R50" s="43">
        <v>133420</v>
      </c>
      <c r="S50" s="43">
        <v>116672</v>
      </c>
      <c r="T50" s="43">
        <v>99463</v>
      </c>
      <c r="V50" s="43">
        <v>508553</v>
      </c>
      <c r="W50" s="43">
        <v>682776</v>
      </c>
      <c r="X50" s="43">
        <v>8679</v>
      </c>
      <c r="Y50" s="43">
        <v>114572</v>
      </c>
      <c r="Z50" s="43">
        <v>146683</v>
      </c>
      <c r="AA50" s="43">
        <v>153599</v>
      </c>
      <c r="AB50" s="37">
        <v>0</v>
      </c>
      <c r="AC50" s="37">
        <v>0</v>
      </c>
      <c r="AD50" s="37">
        <v>701</v>
      </c>
      <c r="AE50" s="37">
        <v>0</v>
      </c>
      <c r="AF50" s="43">
        <v>3895</v>
      </c>
      <c r="AG50" s="43">
        <v>17393</v>
      </c>
      <c r="AH50" s="43">
        <v>100218</v>
      </c>
      <c r="AI50" s="43">
        <v>3087756</v>
      </c>
      <c r="AJ50" s="43">
        <v>348800</v>
      </c>
      <c r="AK50" s="43">
        <v>33646</v>
      </c>
      <c r="AL50" s="37">
        <v>0</v>
      </c>
      <c r="AM50" s="44">
        <v>37182</v>
      </c>
      <c r="AN50" s="43">
        <v>69217</v>
      </c>
      <c r="AP50" s="43">
        <v>269087</v>
      </c>
      <c r="AQ50" s="43">
        <v>11682</v>
      </c>
      <c r="AR50" s="37">
        <v>0</v>
      </c>
      <c r="AS50" s="43">
        <v>93587</v>
      </c>
      <c r="AT50" s="37">
        <v>0</v>
      </c>
      <c r="AU50" s="43">
        <v>1402880</v>
      </c>
      <c r="AV50" s="43">
        <v>268936</v>
      </c>
      <c r="AW50" s="43">
        <v>57622</v>
      </c>
      <c r="AX50" s="43">
        <v>72456</v>
      </c>
      <c r="AY50" s="37">
        <v>0</v>
      </c>
      <c r="AZ50" s="37">
        <v>0</v>
      </c>
      <c r="BA50" s="43">
        <v>103826</v>
      </c>
      <c r="BB50" s="43">
        <v>63445</v>
      </c>
      <c r="BC50" s="43">
        <v>40534</v>
      </c>
      <c r="BD50" s="43">
        <v>108444</v>
      </c>
      <c r="BE50" s="43">
        <v>312506</v>
      </c>
      <c r="BF50" s="43">
        <v>409965</v>
      </c>
      <c r="BG50" s="43">
        <v>3941942</v>
      </c>
      <c r="BH50" s="43">
        <v>4016339</v>
      </c>
      <c r="BI50" s="43">
        <v>12747</v>
      </c>
      <c r="BJ50" s="43">
        <v>58940</v>
      </c>
      <c r="BK50" s="43">
        <v>473474</v>
      </c>
      <c r="BL50" s="37">
        <v>0</v>
      </c>
      <c r="BM50" s="43">
        <v>70181</v>
      </c>
      <c r="BN50" s="43">
        <v>468560</v>
      </c>
      <c r="BO50" s="37">
        <v>0</v>
      </c>
      <c r="BP50" s="37">
        <v>0</v>
      </c>
      <c r="BQ50" s="43">
        <v>1156680</v>
      </c>
      <c r="BR50" s="43">
        <v>28824</v>
      </c>
      <c r="BS50" s="43">
        <v>196909</v>
      </c>
      <c r="BT50" s="43">
        <v>48822</v>
      </c>
      <c r="BU50" s="43">
        <v>229339</v>
      </c>
      <c r="BV50" s="43">
        <v>680459</v>
      </c>
      <c r="BW50" s="43">
        <v>147352</v>
      </c>
      <c r="BX50" s="43">
        <v>219030</v>
      </c>
      <c r="BY50" s="43">
        <v>73184</v>
      </c>
      <c r="BZ50" s="37">
        <v>0</v>
      </c>
      <c r="CA50" s="44">
        <f t="shared" si="4"/>
        <v>27514700</v>
      </c>
    </row>
    <row r="51" spans="1:79" x14ac:dyDescent="0.25">
      <c r="A51" s="57" t="s">
        <v>658</v>
      </c>
      <c r="B51" s="57" t="s">
        <v>659</v>
      </c>
      <c r="C51" s="37">
        <v>0</v>
      </c>
      <c r="D51" s="43">
        <v>502950</v>
      </c>
      <c r="E51" s="43">
        <v>98739</v>
      </c>
      <c r="F51" s="37">
        <v>0</v>
      </c>
      <c r="G51" s="43">
        <v>99312</v>
      </c>
      <c r="H51" s="43">
        <v>18753</v>
      </c>
      <c r="I51" s="37">
        <v>493</v>
      </c>
      <c r="J51" s="43">
        <v>369658</v>
      </c>
      <c r="K51" s="43">
        <v>150508</v>
      </c>
      <c r="L51" s="43">
        <v>53102</v>
      </c>
      <c r="M51" s="37">
        <v>0</v>
      </c>
      <c r="N51" s="43">
        <v>349057</v>
      </c>
      <c r="O51" s="43">
        <v>197709</v>
      </c>
      <c r="P51" s="43">
        <v>244926</v>
      </c>
      <c r="Q51" s="43">
        <v>2091879</v>
      </c>
      <c r="R51" s="43">
        <v>213185</v>
      </c>
      <c r="S51" s="43">
        <v>175466</v>
      </c>
      <c r="T51" s="43">
        <v>809451</v>
      </c>
      <c r="V51" s="37">
        <v>0</v>
      </c>
      <c r="W51" s="43">
        <v>145495</v>
      </c>
      <c r="X51" s="37">
        <v>0</v>
      </c>
      <c r="Y51" s="37">
        <v>0</v>
      </c>
      <c r="Z51" s="43">
        <v>276926</v>
      </c>
      <c r="AA51" s="43">
        <v>49463</v>
      </c>
      <c r="AB51" s="43">
        <v>74016</v>
      </c>
      <c r="AC51" s="43">
        <v>307683</v>
      </c>
      <c r="AD51" s="43">
        <v>125830</v>
      </c>
      <c r="AE51" s="37">
        <v>0</v>
      </c>
      <c r="AF51" s="43">
        <v>526082</v>
      </c>
      <c r="AG51" s="37">
        <v>0</v>
      </c>
      <c r="AH51" s="37">
        <v>0</v>
      </c>
      <c r="AI51" s="43">
        <v>1034124</v>
      </c>
      <c r="AJ51" s="43">
        <v>62882</v>
      </c>
      <c r="AK51" s="43">
        <v>6785</v>
      </c>
      <c r="AL51" s="43">
        <v>54909</v>
      </c>
      <c r="AM51" s="44">
        <v>18624</v>
      </c>
      <c r="AN51" s="43">
        <v>1225698</v>
      </c>
      <c r="AP51" s="43">
        <v>44703</v>
      </c>
      <c r="AQ51" s="43">
        <v>230789</v>
      </c>
      <c r="AR51" s="43">
        <v>2830</v>
      </c>
      <c r="AS51" s="43">
        <v>13796</v>
      </c>
      <c r="AT51" s="43">
        <v>220422</v>
      </c>
      <c r="AU51" s="43">
        <v>132257</v>
      </c>
      <c r="AV51" s="43">
        <v>93781</v>
      </c>
      <c r="AW51" s="43">
        <v>40411</v>
      </c>
      <c r="AX51" s="43">
        <v>89354</v>
      </c>
      <c r="AY51" s="43">
        <v>120556</v>
      </c>
      <c r="AZ51" s="37">
        <v>0</v>
      </c>
      <c r="BA51" s="37">
        <v>0</v>
      </c>
      <c r="BB51" s="43">
        <v>11069</v>
      </c>
      <c r="BC51" s="43">
        <v>88272</v>
      </c>
      <c r="BD51" s="43">
        <v>13678</v>
      </c>
      <c r="BE51" s="43">
        <v>470776</v>
      </c>
      <c r="BF51" s="43">
        <v>145694</v>
      </c>
      <c r="BG51" s="43">
        <v>2090581</v>
      </c>
      <c r="BH51" s="43">
        <v>1106490</v>
      </c>
      <c r="BI51" s="43">
        <v>71121</v>
      </c>
      <c r="BJ51" s="43">
        <v>13776</v>
      </c>
      <c r="BK51" s="43">
        <v>98638</v>
      </c>
      <c r="BL51" s="43">
        <v>128326</v>
      </c>
      <c r="BM51" s="43">
        <v>136051</v>
      </c>
      <c r="BN51" s="43">
        <v>119895</v>
      </c>
      <c r="BO51" s="43">
        <v>934255</v>
      </c>
      <c r="BP51" s="43">
        <v>420540</v>
      </c>
      <c r="BQ51" s="43">
        <v>858885</v>
      </c>
      <c r="BR51" s="43">
        <v>43029</v>
      </c>
      <c r="BS51" s="43">
        <v>256678</v>
      </c>
      <c r="BT51" s="43">
        <v>43926</v>
      </c>
      <c r="BU51" s="43">
        <v>83206</v>
      </c>
      <c r="BV51" s="43">
        <v>244258</v>
      </c>
      <c r="BW51" s="43">
        <v>51943</v>
      </c>
      <c r="BX51" s="43">
        <v>92036</v>
      </c>
      <c r="BY51" s="43">
        <v>56484</v>
      </c>
      <c r="BZ51" s="37">
        <v>0</v>
      </c>
      <c r="CA51" s="44">
        <f t="shared" si="4"/>
        <v>17852211</v>
      </c>
    </row>
    <row r="52" spans="1:79" x14ac:dyDescent="0.25">
      <c r="A52" s="57" t="s">
        <v>660</v>
      </c>
      <c r="B52" s="57" t="s">
        <v>661</v>
      </c>
      <c r="C52" s="37">
        <v>0</v>
      </c>
      <c r="D52" s="43">
        <v>245048</v>
      </c>
      <c r="E52" s="43">
        <v>135075</v>
      </c>
      <c r="F52" s="43">
        <v>21787</v>
      </c>
      <c r="G52" s="43">
        <v>6695</v>
      </c>
      <c r="H52" s="37">
        <v>0</v>
      </c>
      <c r="I52" s="43">
        <v>1626</v>
      </c>
      <c r="J52" s="43">
        <v>225237</v>
      </c>
      <c r="K52" s="43">
        <v>63402</v>
      </c>
      <c r="L52" s="43">
        <v>29110</v>
      </c>
      <c r="M52" s="37">
        <v>0</v>
      </c>
      <c r="N52" s="43">
        <v>338072</v>
      </c>
      <c r="O52" s="37">
        <v>0</v>
      </c>
      <c r="P52" s="43">
        <v>63535</v>
      </c>
      <c r="Q52" s="43">
        <v>558889</v>
      </c>
      <c r="R52" s="43">
        <v>47688</v>
      </c>
      <c r="S52" s="43">
        <v>67990</v>
      </c>
      <c r="T52" s="37">
        <v>40</v>
      </c>
      <c r="V52" s="37">
        <v>0</v>
      </c>
      <c r="W52" s="43">
        <v>107531</v>
      </c>
      <c r="X52" s="37">
        <v>0</v>
      </c>
      <c r="Y52" s="43">
        <v>14654</v>
      </c>
      <c r="Z52" s="43">
        <v>197839</v>
      </c>
      <c r="AA52" s="43">
        <v>13636</v>
      </c>
      <c r="AB52" s="37">
        <v>0</v>
      </c>
      <c r="AC52" s="43">
        <v>165528</v>
      </c>
      <c r="AD52" s="43">
        <v>14260</v>
      </c>
      <c r="AE52" s="37">
        <v>0</v>
      </c>
      <c r="AF52" s="43">
        <v>87566</v>
      </c>
      <c r="AG52" s="37">
        <v>0</v>
      </c>
      <c r="AH52" s="37">
        <v>0</v>
      </c>
      <c r="AI52" s="43">
        <v>748313</v>
      </c>
      <c r="AJ52" s="43">
        <v>26825</v>
      </c>
      <c r="AK52" s="43">
        <v>7966</v>
      </c>
      <c r="AL52" s="37">
        <v>0</v>
      </c>
      <c r="AM52" s="44">
        <v>7942</v>
      </c>
      <c r="AN52" s="43">
        <v>143514</v>
      </c>
      <c r="AP52" s="43">
        <v>2000</v>
      </c>
      <c r="AQ52" s="43">
        <v>121670</v>
      </c>
      <c r="AR52" s="37">
        <v>0</v>
      </c>
      <c r="AS52" s="43">
        <v>3474</v>
      </c>
      <c r="AT52" s="37">
        <v>0</v>
      </c>
      <c r="AU52" s="37">
        <v>0</v>
      </c>
      <c r="AV52" s="43">
        <v>2181</v>
      </c>
      <c r="AW52" s="37">
        <v>0</v>
      </c>
      <c r="AX52" s="43">
        <v>69433</v>
      </c>
      <c r="AY52" s="43">
        <v>186702</v>
      </c>
      <c r="AZ52" s="37">
        <v>0</v>
      </c>
      <c r="BA52" s="37">
        <v>0</v>
      </c>
      <c r="BB52" s="43">
        <v>58634</v>
      </c>
      <c r="BC52" s="37">
        <v>0</v>
      </c>
      <c r="BD52" s="37">
        <v>0</v>
      </c>
      <c r="BE52" s="43">
        <v>198841</v>
      </c>
      <c r="BF52" s="43">
        <v>184995</v>
      </c>
      <c r="BG52" s="43">
        <v>994485</v>
      </c>
      <c r="BH52" s="43">
        <v>339892</v>
      </c>
      <c r="BI52" s="43">
        <v>15389</v>
      </c>
      <c r="BJ52" s="43">
        <v>21296</v>
      </c>
      <c r="BK52" s="43">
        <v>35968</v>
      </c>
      <c r="BL52" s="43">
        <v>14899</v>
      </c>
      <c r="BM52" s="43">
        <v>38224</v>
      </c>
      <c r="BN52" s="43">
        <v>63339</v>
      </c>
      <c r="BO52" s="43">
        <v>49379</v>
      </c>
      <c r="BP52" s="37">
        <v>0</v>
      </c>
      <c r="BQ52" s="43">
        <v>251962</v>
      </c>
      <c r="BR52" s="43">
        <v>28107</v>
      </c>
      <c r="BS52" s="43">
        <v>92109</v>
      </c>
      <c r="BT52" s="43">
        <v>39025</v>
      </c>
      <c r="BU52" s="43">
        <v>71415</v>
      </c>
      <c r="BV52" s="43">
        <v>176424</v>
      </c>
      <c r="BW52" s="43">
        <v>6596</v>
      </c>
      <c r="BX52" s="43">
        <v>147646</v>
      </c>
      <c r="BY52" s="43">
        <v>5495</v>
      </c>
      <c r="BZ52" s="43">
        <v>12503</v>
      </c>
      <c r="CA52" s="44">
        <f t="shared" si="4"/>
        <v>6571851</v>
      </c>
    </row>
    <row r="53" spans="1:79" x14ac:dyDescent="0.25">
      <c r="A53" s="57" t="s">
        <v>662</v>
      </c>
      <c r="B53" s="57" t="s">
        <v>663</v>
      </c>
      <c r="C53" s="37">
        <v>0</v>
      </c>
      <c r="D53" s="43">
        <v>182722</v>
      </c>
      <c r="E53" s="37">
        <v>0</v>
      </c>
      <c r="F53" s="43">
        <v>27015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43">
        <v>111776</v>
      </c>
      <c r="P53" s="37">
        <v>0</v>
      </c>
      <c r="Q53" s="43">
        <v>400204</v>
      </c>
      <c r="R53" s="37">
        <v>0</v>
      </c>
      <c r="S53" s="37">
        <v>0</v>
      </c>
      <c r="T53" s="43">
        <v>22359</v>
      </c>
      <c r="V53" s="37">
        <v>0</v>
      </c>
      <c r="W53" s="43">
        <v>29269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43">
        <v>29367</v>
      </c>
      <c r="AE53" s="37">
        <v>0</v>
      </c>
      <c r="AF53" s="37">
        <v>0</v>
      </c>
      <c r="AG53" s="37">
        <v>0</v>
      </c>
      <c r="AH53" s="43">
        <v>38018</v>
      </c>
      <c r="AI53" s="37">
        <v>0</v>
      </c>
      <c r="AJ53" s="37">
        <v>0</v>
      </c>
      <c r="AK53" s="37">
        <v>0</v>
      </c>
      <c r="AL53" s="37">
        <v>0</v>
      </c>
      <c r="AM53" s="44">
        <v>0</v>
      </c>
      <c r="AN53" s="43">
        <v>109371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43">
        <v>7603</v>
      </c>
      <c r="BF53" s="43">
        <v>8502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0</v>
      </c>
      <c r="BN53" s="37">
        <v>755</v>
      </c>
      <c r="BO53" s="37">
        <v>0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44">
        <f t="shared" si="4"/>
        <v>966961</v>
      </c>
    </row>
    <row r="54" spans="1:79" x14ac:dyDescent="0.25">
      <c r="A54" s="57" t="s">
        <v>664</v>
      </c>
      <c r="B54" s="57" t="s">
        <v>665</v>
      </c>
      <c r="C54" s="43">
        <v>47126</v>
      </c>
      <c r="D54" s="43">
        <v>611171</v>
      </c>
      <c r="E54" s="43">
        <v>259618</v>
      </c>
      <c r="F54" s="37">
        <v>614</v>
      </c>
      <c r="G54" s="43">
        <v>287382</v>
      </c>
      <c r="H54" s="43">
        <v>31101</v>
      </c>
      <c r="I54" s="43">
        <v>14148</v>
      </c>
      <c r="J54" s="43">
        <v>83747</v>
      </c>
      <c r="K54" s="43">
        <v>776599</v>
      </c>
      <c r="L54" s="37">
        <v>0</v>
      </c>
      <c r="M54" s="43">
        <v>457681</v>
      </c>
      <c r="N54" s="43">
        <v>1502490</v>
      </c>
      <c r="O54" s="43">
        <v>235488</v>
      </c>
      <c r="P54" s="43">
        <v>161077</v>
      </c>
      <c r="Q54" s="43">
        <v>2895336</v>
      </c>
      <c r="R54" s="43">
        <v>9291</v>
      </c>
      <c r="S54" s="43">
        <v>67109</v>
      </c>
      <c r="T54" s="43">
        <v>8627</v>
      </c>
      <c r="V54" s="43">
        <v>2747539</v>
      </c>
      <c r="W54" s="43">
        <v>457258</v>
      </c>
      <c r="X54" s="43">
        <v>2221</v>
      </c>
      <c r="Y54" s="43">
        <v>249605</v>
      </c>
      <c r="Z54" s="43">
        <v>768574</v>
      </c>
      <c r="AA54" s="43">
        <v>265272</v>
      </c>
      <c r="AB54" s="37">
        <v>0</v>
      </c>
      <c r="AC54" s="43">
        <v>44492</v>
      </c>
      <c r="AD54" s="43">
        <v>371680</v>
      </c>
      <c r="AE54" s="43">
        <v>7667</v>
      </c>
      <c r="AF54" s="43">
        <v>694867</v>
      </c>
      <c r="AG54" s="43">
        <v>194145</v>
      </c>
      <c r="AH54" s="43">
        <v>415326</v>
      </c>
      <c r="AI54" s="43">
        <v>2270915</v>
      </c>
      <c r="AJ54" s="43">
        <v>275482</v>
      </c>
      <c r="AK54" s="43">
        <v>82550</v>
      </c>
      <c r="AL54" s="43">
        <v>17131</v>
      </c>
      <c r="AM54" s="44">
        <v>564035</v>
      </c>
      <c r="AN54" s="43">
        <v>1172373</v>
      </c>
      <c r="AP54" s="37">
        <v>977</v>
      </c>
      <c r="AQ54" s="43">
        <v>1438018</v>
      </c>
      <c r="AR54" s="43">
        <v>1402314</v>
      </c>
      <c r="AS54" s="43">
        <v>344332</v>
      </c>
      <c r="AT54" s="43">
        <v>548123</v>
      </c>
      <c r="AU54" s="43">
        <v>870640</v>
      </c>
      <c r="AV54" s="43">
        <v>691923</v>
      </c>
      <c r="AW54" s="43">
        <v>113194</v>
      </c>
      <c r="AX54" s="43">
        <v>43529</v>
      </c>
      <c r="AY54" s="43">
        <v>198006</v>
      </c>
      <c r="AZ54" s="43">
        <v>169668</v>
      </c>
      <c r="BA54" s="43">
        <v>77897</v>
      </c>
      <c r="BB54" s="43">
        <v>70409</v>
      </c>
      <c r="BC54" s="43">
        <v>117124</v>
      </c>
      <c r="BD54" s="43">
        <v>177750</v>
      </c>
      <c r="BE54" s="43">
        <v>613467</v>
      </c>
      <c r="BF54" s="43">
        <v>254127</v>
      </c>
      <c r="BG54" s="43">
        <v>5385210</v>
      </c>
      <c r="BH54" s="43">
        <v>3349203</v>
      </c>
      <c r="BI54" s="37">
        <v>0</v>
      </c>
      <c r="BJ54" s="37">
        <v>0</v>
      </c>
      <c r="BK54" s="43">
        <v>299282</v>
      </c>
      <c r="BL54" s="43">
        <v>30443</v>
      </c>
      <c r="BM54" s="43">
        <v>100581</v>
      </c>
      <c r="BN54" s="43">
        <v>151100</v>
      </c>
      <c r="BO54" s="43">
        <v>755763</v>
      </c>
      <c r="BP54" s="43">
        <v>2446173</v>
      </c>
      <c r="BQ54" s="43">
        <v>592689</v>
      </c>
      <c r="BR54" s="43">
        <v>92111</v>
      </c>
      <c r="BS54" s="43">
        <v>792660</v>
      </c>
      <c r="BT54" s="37">
        <v>0</v>
      </c>
      <c r="BU54" s="37">
        <v>0</v>
      </c>
      <c r="BV54" s="43">
        <v>271195</v>
      </c>
      <c r="BW54" s="43">
        <v>116269</v>
      </c>
      <c r="BX54" s="43">
        <v>1120444</v>
      </c>
      <c r="BY54" s="43">
        <v>249063</v>
      </c>
      <c r="BZ54" s="43">
        <v>12312</v>
      </c>
      <c r="CA54" s="44">
        <f t="shared" si="4"/>
        <v>40945733</v>
      </c>
    </row>
    <row r="55" spans="1:79" x14ac:dyDescent="0.25">
      <c r="A55" s="57" t="s">
        <v>666</v>
      </c>
      <c r="B55" s="57" t="s">
        <v>667</v>
      </c>
      <c r="AM55" s="44"/>
      <c r="CA55" s="44">
        <f t="shared" si="4"/>
        <v>0</v>
      </c>
    </row>
    <row r="56" spans="1:79" x14ac:dyDescent="0.25">
      <c r="A56" s="57" t="s">
        <v>668</v>
      </c>
      <c r="B56" s="57" t="s">
        <v>669</v>
      </c>
      <c r="C56" s="43">
        <v>32675</v>
      </c>
      <c r="D56" s="43">
        <v>24014</v>
      </c>
      <c r="E56" s="43">
        <v>10000</v>
      </c>
      <c r="F56" s="43">
        <v>149466</v>
      </c>
      <c r="G56" s="37">
        <v>0</v>
      </c>
      <c r="H56" s="37">
        <v>0</v>
      </c>
      <c r="I56" s="37">
        <v>0</v>
      </c>
      <c r="J56" s="43">
        <v>394102</v>
      </c>
      <c r="K56" s="43">
        <v>160374</v>
      </c>
      <c r="L56" s="37">
        <v>0</v>
      </c>
      <c r="M56" s="37">
        <v>0</v>
      </c>
      <c r="N56" s="43">
        <v>307429</v>
      </c>
      <c r="O56" s="43">
        <v>584334</v>
      </c>
      <c r="P56" s="43">
        <v>36491</v>
      </c>
      <c r="Q56" s="43">
        <v>251989</v>
      </c>
      <c r="R56" s="43">
        <v>123042</v>
      </c>
      <c r="S56" s="43">
        <v>66757</v>
      </c>
      <c r="T56" s="43">
        <v>12578</v>
      </c>
      <c r="V56" s="43">
        <v>98208</v>
      </c>
      <c r="W56" s="43">
        <v>570013</v>
      </c>
      <c r="X56" s="37">
        <v>0</v>
      </c>
      <c r="Y56" s="43">
        <v>34562</v>
      </c>
      <c r="Z56" s="43">
        <v>479485</v>
      </c>
      <c r="AA56" s="43">
        <v>1789</v>
      </c>
      <c r="AB56" s="43">
        <v>86800</v>
      </c>
      <c r="AC56" s="43">
        <v>215415</v>
      </c>
      <c r="AD56" s="43">
        <v>319087</v>
      </c>
      <c r="AE56" s="37">
        <v>0</v>
      </c>
      <c r="AF56" s="43">
        <v>30830</v>
      </c>
      <c r="AG56" s="37">
        <v>0</v>
      </c>
      <c r="AH56" s="43">
        <v>239592</v>
      </c>
      <c r="AI56" s="43">
        <v>218868</v>
      </c>
      <c r="AJ56" s="43">
        <v>36443</v>
      </c>
      <c r="AK56" s="37">
        <v>0</v>
      </c>
      <c r="AL56" s="37">
        <v>0</v>
      </c>
      <c r="AM56" s="44">
        <v>99833</v>
      </c>
      <c r="AN56" s="43">
        <v>1267507</v>
      </c>
      <c r="AP56" s="43">
        <v>36461</v>
      </c>
      <c r="AQ56" s="43">
        <v>85927</v>
      </c>
      <c r="AR56" s="43">
        <v>101741</v>
      </c>
      <c r="AS56" s="37">
        <v>0</v>
      </c>
      <c r="AT56" s="43">
        <v>20558</v>
      </c>
      <c r="AU56" s="43">
        <v>268357</v>
      </c>
      <c r="AV56" s="43">
        <v>285799</v>
      </c>
      <c r="AW56" s="43">
        <v>6324</v>
      </c>
      <c r="AX56" s="43">
        <v>39961</v>
      </c>
      <c r="AY56" s="43">
        <v>170265</v>
      </c>
      <c r="AZ56" s="43">
        <v>10000</v>
      </c>
      <c r="BA56" s="43">
        <v>38209</v>
      </c>
      <c r="BB56" s="43">
        <v>26218</v>
      </c>
      <c r="BC56" s="43">
        <v>39717</v>
      </c>
      <c r="BD56" s="43">
        <v>25619</v>
      </c>
      <c r="BE56" s="43">
        <v>248885</v>
      </c>
      <c r="BF56" s="43">
        <v>54697</v>
      </c>
      <c r="BG56" s="43">
        <v>125020</v>
      </c>
      <c r="BH56" s="37">
        <v>0</v>
      </c>
      <c r="BI56" s="43">
        <v>36426</v>
      </c>
      <c r="BJ56" s="37">
        <v>0</v>
      </c>
      <c r="BK56" s="37">
        <v>0</v>
      </c>
      <c r="BL56" s="37">
        <v>0</v>
      </c>
      <c r="BM56" s="37">
        <v>374</v>
      </c>
      <c r="BN56" s="37">
        <v>0</v>
      </c>
      <c r="BO56" s="37">
        <v>180</v>
      </c>
      <c r="BP56" s="43">
        <v>430757</v>
      </c>
      <c r="BQ56" s="43">
        <v>216590</v>
      </c>
      <c r="BR56" s="37">
        <v>0</v>
      </c>
      <c r="BS56" s="43">
        <v>46311</v>
      </c>
      <c r="BT56" s="37">
        <v>0</v>
      </c>
      <c r="BU56" s="43">
        <v>33419</v>
      </c>
      <c r="BV56" s="43">
        <v>165338</v>
      </c>
      <c r="BW56" s="37">
        <v>0</v>
      </c>
      <c r="BX56" s="43">
        <v>1377</v>
      </c>
      <c r="BY56" s="43">
        <v>5068</v>
      </c>
      <c r="BZ56" s="37">
        <v>0</v>
      </c>
      <c r="CA56" s="44">
        <f t="shared" si="4"/>
        <v>8371281</v>
      </c>
    </row>
    <row r="57" spans="1:79" x14ac:dyDescent="0.25">
      <c r="A57" s="57" t="s">
        <v>670</v>
      </c>
      <c r="B57" s="57" t="s">
        <v>671</v>
      </c>
      <c r="C57" s="43">
        <v>24806</v>
      </c>
      <c r="D57" s="43">
        <v>656160</v>
      </c>
      <c r="E57" s="37">
        <v>0</v>
      </c>
      <c r="F57" s="43">
        <v>46282</v>
      </c>
      <c r="G57" s="37">
        <v>0</v>
      </c>
      <c r="H57" s="37">
        <v>0</v>
      </c>
      <c r="I57" s="37">
        <v>0</v>
      </c>
      <c r="J57" s="43">
        <v>152261</v>
      </c>
      <c r="K57" s="43">
        <v>98788</v>
      </c>
      <c r="L57" s="37">
        <v>0</v>
      </c>
      <c r="M57" s="37">
        <v>0</v>
      </c>
      <c r="N57" s="43">
        <v>65261</v>
      </c>
      <c r="O57" s="43">
        <v>125240</v>
      </c>
      <c r="P57" s="37">
        <v>0</v>
      </c>
      <c r="Q57" s="43">
        <v>240934</v>
      </c>
      <c r="R57" s="43">
        <v>154069</v>
      </c>
      <c r="S57" s="43">
        <v>55389</v>
      </c>
      <c r="T57" s="43">
        <v>110975</v>
      </c>
      <c r="V57" s="43">
        <v>92733</v>
      </c>
      <c r="W57" s="43">
        <v>119902</v>
      </c>
      <c r="X57" s="37">
        <v>0</v>
      </c>
      <c r="Y57" s="43">
        <v>17586</v>
      </c>
      <c r="Z57" s="43">
        <v>11750</v>
      </c>
      <c r="AA57" s="37">
        <v>0</v>
      </c>
      <c r="AB57" s="43">
        <v>74338</v>
      </c>
      <c r="AC57" s="37">
        <v>0</v>
      </c>
      <c r="AD57" s="43">
        <v>271435</v>
      </c>
      <c r="AE57" s="37">
        <v>0</v>
      </c>
      <c r="AF57" s="37">
        <v>0</v>
      </c>
      <c r="AG57" s="37">
        <v>0</v>
      </c>
      <c r="AH57" s="43">
        <v>204293</v>
      </c>
      <c r="AI57" s="43">
        <v>82090</v>
      </c>
      <c r="AJ57" s="43">
        <v>95889</v>
      </c>
      <c r="AK57" s="37">
        <v>0</v>
      </c>
      <c r="AL57" s="37">
        <v>0</v>
      </c>
      <c r="AM57" s="44">
        <v>45739</v>
      </c>
      <c r="AN57" s="43">
        <v>339320</v>
      </c>
      <c r="AP57" s="43">
        <v>127006</v>
      </c>
      <c r="AQ57" s="43">
        <v>96390</v>
      </c>
      <c r="AR57" s="43">
        <v>88815</v>
      </c>
      <c r="AS57" s="37">
        <v>0</v>
      </c>
      <c r="AT57" s="37">
        <v>0</v>
      </c>
      <c r="AU57" s="43">
        <v>86185</v>
      </c>
      <c r="AV57" s="43">
        <v>16146</v>
      </c>
      <c r="AW57" s="43">
        <v>94844</v>
      </c>
      <c r="AX57" s="37">
        <v>0</v>
      </c>
      <c r="AY57" s="43">
        <v>179439</v>
      </c>
      <c r="AZ57" s="37">
        <v>0</v>
      </c>
      <c r="BA57" s="43">
        <v>39941</v>
      </c>
      <c r="BB57" s="43">
        <v>80071</v>
      </c>
      <c r="BC57" s="43">
        <v>137506</v>
      </c>
      <c r="BD57" s="43">
        <v>175374</v>
      </c>
      <c r="BE57" s="37">
        <v>0</v>
      </c>
      <c r="BF57" s="43">
        <v>174347</v>
      </c>
      <c r="BG57" s="43">
        <v>289900</v>
      </c>
      <c r="BH57" s="43">
        <v>423508</v>
      </c>
      <c r="BI57" s="43">
        <v>22035</v>
      </c>
      <c r="BJ57" s="37">
        <v>0</v>
      </c>
      <c r="BK57" s="37">
        <v>794</v>
      </c>
      <c r="BL57" s="37">
        <v>0</v>
      </c>
      <c r="BM57" s="37">
        <v>0</v>
      </c>
      <c r="BN57" s="37">
        <v>0</v>
      </c>
      <c r="BO57" s="37">
        <v>0</v>
      </c>
      <c r="BP57" s="43">
        <v>247807</v>
      </c>
      <c r="BQ57" s="43">
        <v>278066</v>
      </c>
      <c r="BR57" s="37">
        <v>0</v>
      </c>
      <c r="BS57" s="43">
        <v>26848</v>
      </c>
      <c r="BT57" s="37">
        <v>0</v>
      </c>
      <c r="BU57" s="43">
        <v>74730</v>
      </c>
      <c r="BV57" s="43">
        <v>119418</v>
      </c>
      <c r="BW57" s="37">
        <v>0</v>
      </c>
      <c r="BX57" s="37">
        <v>0</v>
      </c>
      <c r="BY57" s="37">
        <v>0</v>
      </c>
      <c r="BZ57" s="37">
        <v>0</v>
      </c>
      <c r="CA57" s="44">
        <f t="shared" si="4"/>
        <v>5864410</v>
      </c>
    </row>
    <row r="58" spans="1:79" x14ac:dyDescent="0.25">
      <c r="A58" s="57" t="s">
        <v>672</v>
      </c>
      <c r="B58" s="57" t="s">
        <v>673</v>
      </c>
      <c r="C58" s="37">
        <v>0</v>
      </c>
      <c r="D58" s="43">
        <v>44273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43">
        <v>65445</v>
      </c>
      <c r="K58" s="37">
        <v>0</v>
      </c>
      <c r="L58" s="37">
        <v>0</v>
      </c>
      <c r="M58" s="37">
        <v>0</v>
      </c>
      <c r="N58" s="43">
        <v>60126</v>
      </c>
      <c r="O58" s="43">
        <v>94956</v>
      </c>
      <c r="P58" s="37">
        <v>0</v>
      </c>
      <c r="Q58" s="43">
        <v>23773</v>
      </c>
      <c r="R58" s="43">
        <v>44073</v>
      </c>
      <c r="S58" s="37">
        <v>711</v>
      </c>
      <c r="T58" s="43">
        <v>6971</v>
      </c>
      <c r="V58" s="43">
        <v>42846</v>
      </c>
      <c r="W58" s="43">
        <v>14098</v>
      </c>
      <c r="X58" s="37">
        <v>0</v>
      </c>
      <c r="Y58" s="43">
        <v>8904</v>
      </c>
      <c r="Z58" s="43">
        <v>63986</v>
      </c>
      <c r="AA58" s="43">
        <v>52959</v>
      </c>
      <c r="AB58" s="37">
        <v>0</v>
      </c>
      <c r="AC58" s="37">
        <v>0</v>
      </c>
      <c r="AD58" s="43">
        <v>84762</v>
      </c>
      <c r="AE58" s="37">
        <v>0</v>
      </c>
      <c r="AF58" s="37">
        <v>0</v>
      </c>
      <c r="AG58" s="37">
        <v>0</v>
      </c>
      <c r="AH58" s="43">
        <v>4667</v>
      </c>
      <c r="AI58" s="43">
        <v>245546</v>
      </c>
      <c r="AJ58" s="43">
        <v>29661</v>
      </c>
      <c r="AK58" s="37">
        <v>0</v>
      </c>
      <c r="AL58" s="37">
        <v>0</v>
      </c>
      <c r="AM58" s="44">
        <v>37317</v>
      </c>
      <c r="AN58" s="43">
        <v>309856</v>
      </c>
      <c r="AP58" s="37">
        <v>0</v>
      </c>
      <c r="AQ58" s="37">
        <v>0</v>
      </c>
      <c r="AR58" s="37">
        <v>0</v>
      </c>
      <c r="AS58" s="37">
        <v>0</v>
      </c>
      <c r="AT58" s="37">
        <v>0</v>
      </c>
      <c r="AU58" s="43">
        <v>114435</v>
      </c>
      <c r="AV58" s="43">
        <v>152839</v>
      </c>
      <c r="AW58" s="43">
        <v>34987</v>
      </c>
      <c r="AX58" s="37">
        <v>0</v>
      </c>
      <c r="AY58" s="43">
        <v>58605</v>
      </c>
      <c r="AZ58" s="37">
        <v>0</v>
      </c>
      <c r="BA58" s="37">
        <v>0</v>
      </c>
      <c r="BB58" s="37">
        <v>0</v>
      </c>
      <c r="BC58" s="43">
        <v>31544</v>
      </c>
      <c r="BD58" s="43">
        <v>51547</v>
      </c>
      <c r="BE58" s="43">
        <v>2112</v>
      </c>
      <c r="BF58" s="43">
        <v>186219</v>
      </c>
      <c r="BG58" s="43">
        <v>123592</v>
      </c>
      <c r="BH58" s="43">
        <v>60768</v>
      </c>
      <c r="BI58" s="37">
        <v>0</v>
      </c>
      <c r="BJ58" s="37">
        <v>0</v>
      </c>
      <c r="BK58" s="37">
        <v>0</v>
      </c>
      <c r="BL58" s="37">
        <v>0</v>
      </c>
      <c r="BM58" s="37">
        <v>0</v>
      </c>
      <c r="BN58" s="37">
        <v>0</v>
      </c>
      <c r="BO58" s="37">
        <v>0</v>
      </c>
      <c r="BP58" s="43">
        <v>131417</v>
      </c>
      <c r="BQ58" s="43">
        <v>29855</v>
      </c>
      <c r="BR58" s="37">
        <v>0</v>
      </c>
      <c r="BS58" s="37">
        <v>0</v>
      </c>
      <c r="BT58" s="37">
        <v>0</v>
      </c>
      <c r="BU58" s="43">
        <v>34686</v>
      </c>
      <c r="BV58" s="43">
        <v>30820</v>
      </c>
      <c r="BW58" s="37">
        <v>0</v>
      </c>
      <c r="BX58" s="37">
        <v>0</v>
      </c>
      <c r="BY58" s="43">
        <v>4000</v>
      </c>
      <c r="BZ58" s="37">
        <v>0</v>
      </c>
      <c r="CA58" s="44">
        <f t="shared" si="4"/>
        <v>2282356</v>
      </c>
    </row>
    <row r="59" spans="1:79" x14ac:dyDescent="0.25">
      <c r="A59" s="57" t="s">
        <v>674</v>
      </c>
      <c r="B59" s="57" t="s">
        <v>675</v>
      </c>
      <c r="C59" s="37">
        <v>0</v>
      </c>
      <c r="D59" s="37">
        <v>0</v>
      </c>
      <c r="E59" s="37">
        <v>0</v>
      </c>
      <c r="F59" s="43">
        <v>7017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43">
        <v>40975</v>
      </c>
      <c r="S59" s="37">
        <v>0</v>
      </c>
      <c r="T59" s="37">
        <v>0</v>
      </c>
      <c r="V59" s="37">
        <v>0</v>
      </c>
      <c r="W59" s="37">
        <v>0</v>
      </c>
      <c r="X59" s="37">
        <v>0</v>
      </c>
      <c r="Y59" s="43">
        <v>2344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43">
        <v>12782</v>
      </c>
      <c r="AI59" s="37">
        <v>0</v>
      </c>
      <c r="AJ59" s="37">
        <v>0</v>
      </c>
      <c r="AK59" s="37">
        <v>0</v>
      </c>
      <c r="AL59" s="37">
        <v>0</v>
      </c>
      <c r="AM59" s="44">
        <v>9838</v>
      </c>
      <c r="AN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43">
        <v>8490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43">
        <v>2758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0</v>
      </c>
      <c r="BS59" s="37">
        <v>0</v>
      </c>
      <c r="BT59" s="37">
        <v>0</v>
      </c>
      <c r="BU59" s="37">
        <v>0</v>
      </c>
      <c r="BV59" s="37">
        <v>0</v>
      </c>
      <c r="BW59" s="37">
        <v>0</v>
      </c>
      <c r="BX59" s="37">
        <v>0</v>
      </c>
      <c r="BY59" s="37">
        <v>0</v>
      </c>
      <c r="BZ59" s="37">
        <v>0</v>
      </c>
      <c r="CA59" s="44">
        <f t="shared" si="4"/>
        <v>84204</v>
      </c>
    </row>
    <row r="60" spans="1:79" x14ac:dyDescent="0.25">
      <c r="A60" s="57" t="s">
        <v>676</v>
      </c>
      <c r="B60" s="57" t="s">
        <v>677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44">
        <v>0</v>
      </c>
      <c r="AN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43">
        <v>73008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37">
        <v>0</v>
      </c>
      <c r="BS60" s="37">
        <v>0</v>
      </c>
      <c r="BT60" s="37">
        <v>0</v>
      </c>
      <c r="BU60" s="37">
        <v>0</v>
      </c>
      <c r="BV60" s="37">
        <v>0</v>
      </c>
      <c r="BW60" s="37">
        <v>0</v>
      </c>
      <c r="BX60" s="37">
        <v>0</v>
      </c>
      <c r="BY60" s="43">
        <v>97395</v>
      </c>
      <c r="BZ60" s="37">
        <v>0</v>
      </c>
      <c r="CA60" s="44">
        <f t="shared" si="4"/>
        <v>170403</v>
      </c>
    </row>
    <row r="61" spans="1:79" x14ac:dyDescent="0.25">
      <c r="A61" s="57" t="s">
        <v>678</v>
      </c>
      <c r="B61" s="57" t="s">
        <v>679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44">
        <v>0</v>
      </c>
      <c r="AN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0</v>
      </c>
      <c r="BC61" s="37">
        <v>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0</v>
      </c>
      <c r="BM61" s="37">
        <v>0</v>
      </c>
      <c r="BN61" s="37">
        <v>0</v>
      </c>
      <c r="BO61" s="37">
        <v>0</v>
      </c>
      <c r="BP61" s="37">
        <v>0</v>
      </c>
      <c r="BQ61" s="37">
        <v>0</v>
      </c>
      <c r="BR61" s="37">
        <v>0</v>
      </c>
      <c r="BS61" s="37">
        <v>972</v>
      </c>
      <c r="BT61" s="37">
        <v>0</v>
      </c>
      <c r="BU61" s="37">
        <v>0</v>
      </c>
      <c r="BV61" s="37">
        <v>0</v>
      </c>
      <c r="BW61" s="37">
        <v>0</v>
      </c>
      <c r="BX61" s="37">
        <v>0</v>
      </c>
      <c r="BY61" s="37">
        <v>0</v>
      </c>
      <c r="BZ61" s="37">
        <v>0</v>
      </c>
      <c r="CA61" s="44">
        <f t="shared" si="4"/>
        <v>972</v>
      </c>
    </row>
    <row r="62" spans="1:79" x14ac:dyDescent="0.25">
      <c r="A62" s="57" t="s">
        <v>680</v>
      </c>
      <c r="B62" s="57" t="s">
        <v>681</v>
      </c>
      <c r="AM62" s="44"/>
      <c r="CA62" s="44">
        <f t="shared" si="4"/>
        <v>0</v>
      </c>
    </row>
    <row r="63" spans="1:79" x14ac:dyDescent="0.25">
      <c r="A63" s="57" t="s">
        <v>682</v>
      </c>
      <c r="B63" s="57" t="s">
        <v>683</v>
      </c>
      <c r="C63" s="43">
        <v>116941</v>
      </c>
      <c r="D63" s="43">
        <v>534721</v>
      </c>
      <c r="E63" s="43">
        <v>101420</v>
      </c>
      <c r="F63" s="43">
        <v>169796</v>
      </c>
      <c r="G63" s="43">
        <v>106773</v>
      </c>
      <c r="H63" s="43">
        <v>28931</v>
      </c>
      <c r="I63" s="43">
        <v>76241</v>
      </c>
      <c r="J63" s="43">
        <v>643156</v>
      </c>
      <c r="K63" s="43">
        <v>220833</v>
      </c>
      <c r="L63" s="37">
        <v>0</v>
      </c>
      <c r="M63" s="43">
        <v>7808</v>
      </c>
      <c r="N63" s="43">
        <v>1534567</v>
      </c>
      <c r="O63" s="43">
        <v>987659</v>
      </c>
      <c r="P63" s="43">
        <v>26507</v>
      </c>
      <c r="Q63" s="43">
        <v>5893111</v>
      </c>
      <c r="R63" s="43">
        <v>395469</v>
      </c>
      <c r="S63" s="43">
        <v>36247</v>
      </c>
      <c r="T63" s="43">
        <v>429492</v>
      </c>
      <c r="V63" s="43">
        <v>142708</v>
      </c>
      <c r="W63" s="43">
        <v>722246</v>
      </c>
      <c r="X63" s="43">
        <v>15723</v>
      </c>
      <c r="Y63" s="43">
        <v>202794</v>
      </c>
      <c r="Z63" s="43">
        <v>593257</v>
      </c>
      <c r="AA63" s="43">
        <v>147940</v>
      </c>
      <c r="AB63" s="43">
        <v>149389</v>
      </c>
      <c r="AC63" s="43">
        <v>284461</v>
      </c>
      <c r="AD63" s="43">
        <v>246237</v>
      </c>
      <c r="AE63" s="43">
        <v>11240</v>
      </c>
      <c r="AF63" s="43">
        <v>154493</v>
      </c>
      <c r="AG63" s="43">
        <v>75943</v>
      </c>
      <c r="AH63" s="43">
        <v>258791</v>
      </c>
      <c r="AI63" s="43">
        <v>1534800</v>
      </c>
      <c r="AJ63" s="43">
        <v>93543</v>
      </c>
      <c r="AK63" s="43">
        <v>6449</v>
      </c>
      <c r="AL63" s="43">
        <v>107194</v>
      </c>
      <c r="AM63" s="44">
        <v>62275</v>
      </c>
      <c r="AN63" s="43">
        <v>1256294</v>
      </c>
      <c r="AP63" s="43">
        <v>70382</v>
      </c>
      <c r="AQ63" s="43">
        <v>642741</v>
      </c>
      <c r="AR63" s="43">
        <v>233097</v>
      </c>
      <c r="AS63" s="43">
        <v>19880</v>
      </c>
      <c r="AT63" s="43">
        <v>482647</v>
      </c>
      <c r="AU63" s="43">
        <v>1273050</v>
      </c>
      <c r="AV63" s="43">
        <v>343335</v>
      </c>
      <c r="AW63" s="43">
        <v>188791</v>
      </c>
      <c r="AX63" s="43">
        <v>269970</v>
      </c>
      <c r="AY63" s="43">
        <v>474332</v>
      </c>
      <c r="AZ63" s="43">
        <v>51808</v>
      </c>
      <c r="BA63" s="43">
        <v>57661</v>
      </c>
      <c r="BB63" s="43">
        <v>372911</v>
      </c>
      <c r="BC63" s="43">
        <v>268223</v>
      </c>
      <c r="BD63" s="43">
        <v>195017</v>
      </c>
      <c r="BE63" s="43">
        <v>1756420</v>
      </c>
      <c r="BF63" s="43">
        <v>573672</v>
      </c>
      <c r="BG63" s="43">
        <v>1281455</v>
      </c>
      <c r="BH63" s="43">
        <v>692980</v>
      </c>
      <c r="BI63" s="43">
        <v>63980</v>
      </c>
      <c r="BJ63" s="43">
        <v>74224</v>
      </c>
      <c r="BK63" s="43">
        <v>312950</v>
      </c>
      <c r="BL63" s="43">
        <v>5562</v>
      </c>
      <c r="BM63" s="43">
        <v>15304</v>
      </c>
      <c r="BN63" s="43">
        <v>205111</v>
      </c>
      <c r="BO63" s="43">
        <v>117626</v>
      </c>
      <c r="BP63" s="43">
        <v>225874</v>
      </c>
      <c r="BQ63" s="43">
        <v>568694</v>
      </c>
      <c r="BR63" s="43">
        <v>54927</v>
      </c>
      <c r="BS63" s="43">
        <v>417079</v>
      </c>
      <c r="BT63" s="43">
        <v>229861</v>
      </c>
      <c r="BU63" s="43">
        <v>57089</v>
      </c>
      <c r="BV63" s="43">
        <v>768569</v>
      </c>
      <c r="BW63" s="43">
        <v>221883</v>
      </c>
      <c r="BX63" s="43">
        <v>421525</v>
      </c>
      <c r="BY63" s="43">
        <v>1106981</v>
      </c>
      <c r="BZ63" s="37">
        <v>974</v>
      </c>
      <c r="CA63" s="44">
        <f t="shared" si="4"/>
        <v>31492034</v>
      </c>
    </row>
    <row r="64" spans="1:79" x14ac:dyDescent="0.25">
      <c r="A64" s="57" t="s">
        <v>684</v>
      </c>
      <c r="B64" s="57" t="s">
        <v>685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43">
        <v>13804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44">
        <v>0</v>
      </c>
      <c r="AN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43">
        <v>414000</v>
      </c>
      <c r="AY64" s="43">
        <v>2995</v>
      </c>
      <c r="AZ64" s="37">
        <v>0</v>
      </c>
      <c r="BA64" s="37">
        <v>0</v>
      </c>
      <c r="BB64" s="37">
        <v>-22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44">
        <f t="shared" si="4"/>
        <v>430777</v>
      </c>
    </row>
    <row r="65" spans="1:79" x14ac:dyDescent="0.25">
      <c r="A65" s="57" t="s">
        <v>686</v>
      </c>
      <c r="B65" s="57" t="s">
        <v>687</v>
      </c>
      <c r="C65" s="43">
        <v>462628</v>
      </c>
      <c r="D65" s="43">
        <v>766159</v>
      </c>
      <c r="E65" s="37">
        <v>0</v>
      </c>
      <c r="F65" s="43">
        <v>243550</v>
      </c>
      <c r="G65" s="43">
        <v>317143</v>
      </c>
      <c r="H65" s="43">
        <v>138176</v>
      </c>
      <c r="I65" s="37">
        <v>0</v>
      </c>
      <c r="J65" s="43">
        <v>317776</v>
      </c>
      <c r="K65" s="37">
        <v>0</v>
      </c>
      <c r="L65" s="37">
        <v>0</v>
      </c>
      <c r="M65" s="37">
        <v>0</v>
      </c>
      <c r="N65" s="43">
        <v>596541</v>
      </c>
      <c r="O65" s="43">
        <v>81935</v>
      </c>
      <c r="P65" s="37">
        <v>-640</v>
      </c>
      <c r="Q65" s="43">
        <v>4502117</v>
      </c>
      <c r="R65" s="43">
        <v>443170</v>
      </c>
      <c r="S65" s="43">
        <v>29505</v>
      </c>
      <c r="T65" s="43">
        <v>46683</v>
      </c>
      <c r="V65" s="43">
        <v>28473</v>
      </c>
      <c r="W65" s="43">
        <v>259724</v>
      </c>
      <c r="X65" s="37">
        <v>0</v>
      </c>
      <c r="Y65" s="37">
        <v>0</v>
      </c>
      <c r="Z65" s="43">
        <v>1588810</v>
      </c>
      <c r="AA65" s="43">
        <v>148629</v>
      </c>
      <c r="AB65" s="43">
        <v>1465191</v>
      </c>
      <c r="AC65" s="37">
        <v>481</v>
      </c>
      <c r="AD65" s="43">
        <v>54871</v>
      </c>
      <c r="AE65" s="43">
        <v>58269</v>
      </c>
      <c r="AF65" s="37">
        <v>265</v>
      </c>
      <c r="AG65" s="43">
        <v>304226</v>
      </c>
      <c r="AH65" s="43">
        <v>611965</v>
      </c>
      <c r="AI65" s="43">
        <v>1614405</v>
      </c>
      <c r="AJ65" s="37">
        <v>0</v>
      </c>
      <c r="AK65" s="37">
        <v>0</v>
      </c>
      <c r="AL65" s="37">
        <v>0</v>
      </c>
      <c r="AM65" s="44">
        <v>8392</v>
      </c>
      <c r="AN65" s="43">
        <v>343570</v>
      </c>
      <c r="AP65" s="43">
        <v>374696</v>
      </c>
      <c r="AQ65" s="43">
        <v>642082</v>
      </c>
      <c r="AR65" s="43">
        <v>482054</v>
      </c>
      <c r="AS65" s="43">
        <v>28825</v>
      </c>
      <c r="AT65" s="37">
        <v>0</v>
      </c>
      <c r="AU65" s="43">
        <v>1557424</v>
      </c>
      <c r="AV65" s="43">
        <v>232693</v>
      </c>
      <c r="AW65" s="37">
        <v>0</v>
      </c>
      <c r="AX65" s="43">
        <v>42676</v>
      </c>
      <c r="AY65" s="43">
        <v>860981</v>
      </c>
      <c r="AZ65" s="37">
        <v>0</v>
      </c>
      <c r="BA65" s="43">
        <v>19633</v>
      </c>
      <c r="BB65" s="37">
        <v>0</v>
      </c>
      <c r="BC65" s="43">
        <v>607865</v>
      </c>
      <c r="BD65" s="43">
        <v>184481</v>
      </c>
      <c r="BE65" s="37">
        <v>950</v>
      </c>
      <c r="BF65" s="43">
        <v>166366</v>
      </c>
      <c r="BG65" s="43">
        <v>365389</v>
      </c>
      <c r="BH65" s="43">
        <v>1080963</v>
      </c>
      <c r="BI65" s="37">
        <v>0</v>
      </c>
      <c r="BJ65" s="37">
        <v>0</v>
      </c>
      <c r="BK65" s="43">
        <v>1191085</v>
      </c>
      <c r="BL65" s="43">
        <v>69349</v>
      </c>
      <c r="BM65" s="37">
        <v>669</v>
      </c>
      <c r="BN65" s="43">
        <v>312929</v>
      </c>
      <c r="BO65" s="43">
        <v>1068951</v>
      </c>
      <c r="BP65" s="43">
        <v>219966</v>
      </c>
      <c r="BQ65" s="43">
        <v>97661</v>
      </c>
      <c r="BR65" s="43">
        <v>55237</v>
      </c>
      <c r="BS65" s="43">
        <v>15400</v>
      </c>
      <c r="BT65" s="43">
        <v>142139</v>
      </c>
      <c r="BU65" s="43">
        <v>38774</v>
      </c>
      <c r="BV65" s="43">
        <v>38348</v>
      </c>
      <c r="BW65" s="43">
        <v>64220</v>
      </c>
      <c r="BX65" s="43">
        <v>453886</v>
      </c>
      <c r="BY65" s="43">
        <v>59730</v>
      </c>
      <c r="BZ65" s="43">
        <v>27792</v>
      </c>
      <c r="CA65" s="44">
        <f t="shared" si="4"/>
        <v>24935228</v>
      </c>
    </row>
    <row r="66" spans="1:79" x14ac:dyDescent="0.25">
      <c r="A66" s="37" t="s">
        <v>688</v>
      </c>
      <c r="B66" s="37" t="s">
        <v>689</v>
      </c>
      <c r="C66" s="43">
        <f>SUM(C4:C65)</f>
        <v>21166815</v>
      </c>
      <c r="D66" s="43">
        <f t="shared" ref="D66:BO66" si="13">SUM(D4:D65)</f>
        <v>158735133</v>
      </c>
      <c r="E66" s="43">
        <f t="shared" si="13"/>
        <v>9338939</v>
      </c>
      <c r="F66" s="43">
        <f t="shared" si="13"/>
        <v>71209443</v>
      </c>
      <c r="G66" s="43">
        <f t="shared" si="13"/>
        <v>25946228</v>
      </c>
      <c r="H66" s="43">
        <f t="shared" si="13"/>
        <v>18831929</v>
      </c>
      <c r="I66" s="43">
        <f t="shared" si="13"/>
        <v>24444421</v>
      </c>
      <c r="J66" s="43">
        <f t="shared" si="13"/>
        <v>89727137</v>
      </c>
      <c r="K66" s="43">
        <f t="shared" si="13"/>
        <v>15882037</v>
      </c>
      <c r="L66" s="43">
        <f t="shared" si="13"/>
        <v>16374434</v>
      </c>
      <c r="M66" s="43">
        <f t="shared" si="13"/>
        <v>11492409</v>
      </c>
      <c r="N66" s="43">
        <f t="shared" si="13"/>
        <v>218413721</v>
      </c>
      <c r="O66" s="43">
        <f t="shared" si="13"/>
        <v>257990446</v>
      </c>
      <c r="P66" s="43">
        <f t="shared" si="13"/>
        <v>12870397</v>
      </c>
      <c r="Q66" s="43">
        <f t="shared" si="13"/>
        <v>417631006</v>
      </c>
      <c r="R66" s="43">
        <f t="shared" si="13"/>
        <v>63856507</v>
      </c>
      <c r="S66" s="43">
        <f t="shared" si="13"/>
        <v>34416205</v>
      </c>
      <c r="T66" s="43">
        <f t="shared" si="13"/>
        <v>48239806</v>
      </c>
      <c r="U66" s="43">
        <f t="shared" si="13"/>
        <v>0</v>
      </c>
      <c r="V66" s="43">
        <f t="shared" si="13"/>
        <v>36512771</v>
      </c>
      <c r="W66" s="43">
        <f t="shared" si="13"/>
        <v>82115699</v>
      </c>
      <c r="X66" s="43">
        <f t="shared" si="13"/>
        <v>8606663</v>
      </c>
      <c r="Y66" s="43">
        <f t="shared" si="13"/>
        <v>20837569</v>
      </c>
      <c r="Z66" s="43">
        <f t="shared" si="13"/>
        <v>166502724</v>
      </c>
      <c r="AA66" s="43">
        <f t="shared" si="13"/>
        <v>18256384</v>
      </c>
      <c r="AB66" s="43">
        <f t="shared" si="13"/>
        <v>26903274</v>
      </c>
      <c r="AC66" s="43">
        <f t="shared" si="13"/>
        <v>26826928</v>
      </c>
      <c r="AD66" s="43">
        <f t="shared" si="13"/>
        <v>136338249</v>
      </c>
      <c r="AE66" s="43">
        <f t="shared" si="13"/>
        <v>9116555</v>
      </c>
      <c r="AF66" s="43">
        <f t="shared" si="13"/>
        <v>24675389</v>
      </c>
      <c r="AG66" s="43">
        <f t="shared" si="13"/>
        <v>9432107</v>
      </c>
      <c r="AH66" s="43">
        <f t="shared" si="13"/>
        <v>66024135</v>
      </c>
      <c r="AI66" s="43">
        <f t="shared" si="13"/>
        <v>546025152</v>
      </c>
      <c r="AJ66" s="43">
        <f t="shared" si="13"/>
        <v>63698124</v>
      </c>
      <c r="AK66" s="43">
        <f t="shared" si="13"/>
        <v>7363149</v>
      </c>
      <c r="AL66" s="43">
        <f t="shared" si="13"/>
        <v>10678875</v>
      </c>
      <c r="AM66" s="43">
        <f t="shared" si="13"/>
        <v>18296994</v>
      </c>
      <c r="AN66" s="43">
        <f t="shared" si="13"/>
        <v>381530356</v>
      </c>
      <c r="AO66" s="43">
        <f t="shared" si="13"/>
        <v>0</v>
      </c>
      <c r="AP66" s="43">
        <f t="shared" si="13"/>
        <v>73323173</v>
      </c>
      <c r="AQ66" s="43">
        <f t="shared" si="13"/>
        <v>101854601</v>
      </c>
      <c r="AR66" s="43">
        <f t="shared" si="13"/>
        <v>43324981</v>
      </c>
      <c r="AS66" s="43">
        <f t="shared" si="13"/>
        <v>21250416</v>
      </c>
      <c r="AT66" s="43">
        <f t="shared" si="13"/>
        <v>12497115</v>
      </c>
      <c r="AU66" s="43">
        <f t="shared" si="13"/>
        <v>219009155</v>
      </c>
      <c r="AV66" s="43">
        <f t="shared" si="13"/>
        <v>64845157</v>
      </c>
      <c r="AW66" s="43">
        <f t="shared" si="13"/>
        <v>15362379</v>
      </c>
      <c r="AX66" s="43">
        <f t="shared" si="13"/>
        <v>26199100</v>
      </c>
      <c r="AY66" s="43">
        <f t="shared" si="13"/>
        <v>142072127</v>
      </c>
      <c r="AZ66" s="43">
        <f t="shared" si="13"/>
        <v>7210042</v>
      </c>
      <c r="BA66" s="43">
        <f t="shared" si="13"/>
        <v>27204532</v>
      </c>
      <c r="BB66" s="43">
        <f t="shared" si="13"/>
        <v>24951155</v>
      </c>
      <c r="BC66" s="43">
        <f t="shared" si="13"/>
        <v>45549764</v>
      </c>
      <c r="BD66" s="43">
        <f t="shared" si="13"/>
        <v>80303718</v>
      </c>
      <c r="BE66" s="43">
        <f t="shared" si="13"/>
        <v>83037399</v>
      </c>
      <c r="BF66" s="43">
        <f t="shared" si="13"/>
        <v>113320033</v>
      </c>
      <c r="BG66" s="43">
        <f t="shared" si="13"/>
        <v>226719242</v>
      </c>
      <c r="BH66" s="43">
        <f t="shared" si="13"/>
        <v>206239348</v>
      </c>
      <c r="BI66" s="43">
        <f t="shared" si="13"/>
        <v>17106608</v>
      </c>
      <c r="BJ66" s="43">
        <f t="shared" si="13"/>
        <v>36979110</v>
      </c>
      <c r="BK66" s="43">
        <f t="shared" si="13"/>
        <v>71589455</v>
      </c>
      <c r="BL66" s="43">
        <f t="shared" si="13"/>
        <v>20563116</v>
      </c>
      <c r="BM66" s="43">
        <f t="shared" si="13"/>
        <v>19158709</v>
      </c>
      <c r="BN66" s="43">
        <f t="shared" si="13"/>
        <v>76434322</v>
      </c>
      <c r="BO66" s="43">
        <f t="shared" si="13"/>
        <v>93872130</v>
      </c>
      <c r="BP66" s="43">
        <f t="shared" ref="BP66:CA66" si="14">SUM(BP4:BP65)</f>
        <v>79005320</v>
      </c>
      <c r="BQ66" s="43">
        <f t="shared" si="14"/>
        <v>99148733</v>
      </c>
      <c r="BR66" s="43">
        <f t="shared" si="14"/>
        <v>27763960</v>
      </c>
      <c r="BS66" s="43">
        <f t="shared" si="14"/>
        <v>29143382</v>
      </c>
      <c r="BT66" s="43">
        <f t="shared" si="14"/>
        <v>38812013</v>
      </c>
      <c r="BU66" s="43">
        <f t="shared" si="14"/>
        <v>69806330</v>
      </c>
      <c r="BV66" s="43">
        <f t="shared" si="14"/>
        <v>123628651</v>
      </c>
      <c r="BW66" s="43">
        <f t="shared" si="14"/>
        <v>129470422</v>
      </c>
      <c r="BX66" s="43">
        <f t="shared" si="14"/>
        <v>107548049</v>
      </c>
      <c r="BY66" s="43">
        <f t="shared" si="14"/>
        <v>122340952</v>
      </c>
      <c r="BZ66" s="43">
        <f t="shared" si="14"/>
        <v>12094504</v>
      </c>
      <c r="CA66" s="44">
        <f t="shared" si="14"/>
        <v>5885047313</v>
      </c>
    </row>
    <row r="67" spans="1:79" x14ac:dyDescent="0.25">
      <c r="A67" s="37" t="s">
        <v>690</v>
      </c>
      <c r="B67" s="37" t="s">
        <v>691</v>
      </c>
      <c r="AM67" s="44"/>
      <c r="CA67" s="44">
        <f t="shared" si="4"/>
        <v>0</v>
      </c>
    </row>
    <row r="68" spans="1:79" x14ac:dyDescent="0.25">
      <c r="A68" s="37" t="s">
        <v>692</v>
      </c>
      <c r="B68" s="37" t="s">
        <v>693</v>
      </c>
      <c r="AM68" s="44"/>
      <c r="CA68" s="44">
        <f t="shared" si="4"/>
        <v>0</v>
      </c>
    </row>
    <row r="69" spans="1:79" x14ac:dyDescent="0.25">
      <c r="A69" s="62" t="s">
        <v>694</v>
      </c>
      <c r="B69" s="58" t="s">
        <v>695</v>
      </c>
      <c r="C69" s="43">
        <v>271963</v>
      </c>
      <c r="D69" s="43">
        <v>1182688</v>
      </c>
      <c r="E69" s="43">
        <v>331848</v>
      </c>
      <c r="F69" s="43">
        <v>96747</v>
      </c>
      <c r="G69" s="43">
        <v>2788</v>
      </c>
      <c r="H69" s="37">
        <v>0</v>
      </c>
      <c r="I69" s="37">
        <v>0</v>
      </c>
      <c r="J69" s="43">
        <v>250194</v>
      </c>
      <c r="K69" s="43">
        <v>74699</v>
      </c>
      <c r="L69" s="43">
        <v>166437</v>
      </c>
      <c r="M69" s="43">
        <v>10322</v>
      </c>
      <c r="N69" s="43">
        <v>5818138</v>
      </c>
      <c r="O69" s="43">
        <v>4933656</v>
      </c>
      <c r="P69" s="43">
        <v>276435</v>
      </c>
      <c r="Q69" s="43">
        <v>3573750</v>
      </c>
      <c r="R69" s="43">
        <v>418823</v>
      </c>
      <c r="S69" s="43">
        <v>154981</v>
      </c>
      <c r="T69" s="43">
        <v>82315</v>
      </c>
      <c r="V69" s="43">
        <v>681505</v>
      </c>
      <c r="W69" s="43">
        <v>1033413</v>
      </c>
      <c r="X69" s="43">
        <v>139705</v>
      </c>
      <c r="Y69" s="43">
        <v>136368</v>
      </c>
      <c r="Z69" s="43">
        <v>862633</v>
      </c>
      <c r="AA69" s="43">
        <v>99941</v>
      </c>
      <c r="AB69" s="43">
        <v>177712</v>
      </c>
      <c r="AC69" s="43">
        <v>813906</v>
      </c>
      <c r="AD69" s="43">
        <v>578860</v>
      </c>
      <c r="AE69" s="43">
        <v>9340</v>
      </c>
      <c r="AF69" s="43">
        <v>787566</v>
      </c>
      <c r="AG69" s="37">
        <v>0</v>
      </c>
      <c r="AH69" s="43">
        <v>1161461</v>
      </c>
      <c r="AI69" s="43">
        <v>6647308</v>
      </c>
      <c r="AJ69" s="43">
        <v>608462</v>
      </c>
      <c r="AK69" s="43">
        <v>79751</v>
      </c>
      <c r="AL69" s="37">
        <v>600</v>
      </c>
      <c r="AM69" s="44">
        <v>484681</v>
      </c>
      <c r="AN69" s="43">
        <v>4584088</v>
      </c>
      <c r="AP69" s="43">
        <v>361066</v>
      </c>
      <c r="AQ69" s="43">
        <v>224379</v>
      </c>
      <c r="AR69" s="43">
        <v>439373</v>
      </c>
      <c r="AS69" s="43">
        <v>14784</v>
      </c>
      <c r="AT69" s="43">
        <v>89704</v>
      </c>
      <c r="AU69" s="43">
        <v>3275288</v>
      </c>
      <c r="AV69" s="43">
        <v>1361754</v>
      </c>
      <c r="AW69" s="43">
        <v>79821</v>
      </c>
      <c r="AX69" s="43">
        <v>172825</v>
      </c>
      <c r="AY69" s="43">
        <v>3203177</v>
      </c>
      <c r="AZ69" s="43">
        <v>256036</v>
      </c>
      <c r="BA69" s="43">
        <v>94737</v>
      </c>
      <c r="BB69" s="43">
        <v>1024652</v>
      </c>
      <c r="BC69" s="43">
        <v>489735</v>
      </c>
      <c r="BD69" s="43">
        <v>459006</v>
      </c>
      <c r="BE69" s="43">
        <v>1007673</v>
      </c>
      <c r="BF69" s="43">
        <v>954829</v>
      </c>
      <c r="BG69" s="43">
        <v>6660000</v>
      </c>
      <c r="BH69" s="43">
        <v>4151399</v>
      </c>
      <c r="BI69" s="43">
        <v>88336</v>
      </c>
      <c r="BJ69" s="43">
        <v>141243</v>
      </c>
      <c r="BK69" s="43">
        <v>132011</v>
      </c>
      <c r="BL69" s="43">
        <v>1351</v>
      </c>
      <c r="BM69" s="43">
        <v>71770</v>
      </c>
      <c r="BN69" s="43">
        <v>132222</v>
      </c>
      <c r="BO69" s="43">
        <v>530387</v>
      </c>
      <c r="BP69" s="43">
        <v>1451905</v>
      </c>
      <c r="BQ69" s="43">
        <v>1922655</v>
      </c>
      <c r="BR69" s="37">
        <v>0</v>
      </c>
      <c r="BS69" s="37">
        <v>0</v>
      </c>
      <c r="BT69" s="43">
        <v>175084</v>
      </c>
      <c r="BU69" s="43">
        <v>637943</v>
      </c>
      <c r="BV69" s="43">
        <v>1326963</v>
      </c>
      <c r="BW69" s="43">
        <v>1207756</v>
      </c>
      <c r="BX69" s="43">
        <v>1055121</v>
      </c>
      <c r="BY69" s="43">
        <v>1306641</v>
      </c>
      <c r="BZ69" s="43">
        <v>341766</v>
      </c>
      <c r="CA69" s="44">
        <f t="shared" si="4"/>
        <v>71376476</v>
      </c>
    </row>
    <row r="70" spans="1:79" x14ac:dyDescent="0.25">
      <c r="A70" s="62" t="s">
        <v>696</v>
      </c>
      <c r="B70" s="58" t="s">
        <v>697</v>
      </c>
      <c r="C70" s="43">
        <v>1026964</v>
      </c>
      <c r="D70" s="43">
        <v>8005749</v>
      </c>
      <c r="E70" s="43">
        <v>296891</v>
      </c>
      <c r="F70" s="43">
        <v>2245277</v>
      </c>
      <c r="G70" s="43">
        <v>1149053</v>
      </c>
      <c r="H70" s="43">
        <v>868590</v>
      </c>
      <c r="I70" s="43">
        <v>897875</v>
      </c>
      <c r="J70" s="43">
        <v>3287424</v>
      </c>
      <c r="K70" s="43">
        <v>1111908</v>
      </c>
      <c r="L70" s="43">
        <v>414355</v>
      </c>
      <c r="M70" s="43">
        <v>564853</v>
      </c>
      <c r="N70" s="43">
        <v>8726814</v>
      </c>
      <c r="O70" s="43">
        <v>10621961</v>
      </c>
      <c r="P70" s="43">
        <v>798872</v>
      </c>
      <c r="Q70" s="43">
        <v>23820378</v>
      </c>
      <c r="R70" s="43">
        <v>2963373</v>
      </c>
      <c r="S70" s="43">
        <v>1370869</v>
      </c>
      <c r="T70" s="43">
        <v>1497926</v>
      </c>
      <c r="V70" s="43">
        <v>1396540</v>
      </c>
      <c r="W70" s="43">
        <v>3557535</v>
      </c>
      <c r="X70" s="43">
        <v>301055</v>
      </c>
      <c r="Y70" s="43">
        <v>1355427</v>
      </c>
      <c r="Z70" s="43">
        <v>7345671</v>
      </c>
      <c r="AA70" s="43">
        <v>729294</v>
      </c>
      <c r="AB70" s="43">
        <v>1094709</v>
      </c>
      <c r="AC70" s="43">
        <v>1034137</v>
      </c>
      <c r="AD70" s="43">
        <v>4202091</v>
      </c>
      <c r="AE70" s="43">
        <v>163948</v>
      </c>
      <c r="AF70" s="43">
        <v>1131262</v>
      </c>
      <c r="AG70" s="43">
        <v>337761</v>
      </c>
      <c r="AH70" s="43">
        <v>2837207</v>
      </c>
      <c r="AI70" s="43">
        <v>29793888</v>
      </c>
      <c r="AJ70" s="43">
        <v>2663352</v>
      </c>
      <c r="AK70" s="43">
        <v>373302</v>
      </c>
      <c r="AL70" s="43">
        <v>715417</v>
      </c>
      <c r="AM70" s="44">
        <v>912865</v>
      </c>
      <c r="AN70" s="43">
        <v>14721155</v>
      </c>
      <c r="AP70" s="43">
        <v>3341282</v>
      </c>
      <c r="AQ70" s="43">
        <v>4518758</v>
      </c>
      <c r="AR70" s="43">
        <v>1673831</v>
      </c>
      <c r="AS70" s="43">
        <v>866046</v>
      </c>
      <c r="AT70" s="43">
        <v>592401</v>
      </c>
      <c r="AU70" s="43">
        <v>10685324</v>
      </c>
      <c r="AV70" s="43">
        <v>2049864</v>
      </c>
      <c r="AW70" s="43">
        <v>621975</v>
      </c>
      <c r="AX70" s="43">
        <v>984808</v>
      </c>
      <c r="AY70" s="43">
        <v>5787279</v>
      </c>
      <c r="AZ70" s="43">
        <v>240053</v>
      </c>
      <c r="BA70" s="43">
        <v>966498</v>
      </c>
      <c r="BB70" s="43">
        <v>1094437</v>
      </c>
      <c r="BC70" s="43">
        <v>1903802</v>
      </c>
      <c r="BD70" s="43">
        <v>4295071</v>
      </c>
      <c r="BE70" s="43">
        <v>5654079</v>
      </c>
      <c r="BF70" s="43">
        <v>3864721</v>
      </c>
      <c r="BG70" s="43">
        <v>6392088</v>
      </c>
      <c r="BH70" s="43">
        <v>8696426</v>
      </c>
      <c r="BI70" s="43">
        <v>767526</v>
      </c>
      <c r="BJ70" s="43">
        <v>1443894</v>
      </c>
      <c r="BK70" s="43">
        <v>2373948</v>
      </c>
      <c r="BL70" s="43">
        <v>959572</v>
      </c>
      <c r="BM70" s="43">
        <v>595543</v>
      </c>
      <c r="BN70" s="43">
        <v>2830108</v>
      </c>
      <c r="BO70" s="43">
        <v>3563071</v>
      </c>
      <c r="BP70" s="43">
        <v>3877295</v>
      </c>
      <c r="BQ70" s="43">
        <v>6054348</v>
      </c>
      <c r="BR70" s="43">
        <v>1006675</v>
      </c>
      <c r="BS70" s="43">
        <v>1372774</v>
      </c>
      <c r="BT70" s="43">
        <v>1611473</v>
      </c>
      <c r="BU70" s="43">
        <v>2909111</v>
      </c>
      <c r="BV70" s="43">
        <v>5950047</v>
      </c>
      <c r="BW70" s="43">
        <v>6249587</v>
      </c>
      <c r="BX70" s="43">
        <v>4221961</v>
      </c>
      <c r="BY70" s="43">
        <v>3883672</v>
      </c>
      <c r="BZ70" s="43">
        <v>338838</v>
      </c>
      <c r="CA70" s="44">
        <f t="shared" si="4"/>
        <v>258573934</v>
      </c>
    </row>
    <row r="71" spans="1:79" x14ac:dyDescent="0.25">
      <c r="A71" s="62" t="s">
        <v>698</v>
      </c>
      <c r="B71" s="58" t="s">
        <v>699</v>
      </c>
      <c r="C71" s="43">
        <v>745722</v>
      </c>
      <c r="D71" s="43">
        <v>3861240</v>
      </c>
      <c r="E71" s="43">
        <v>288530</v>
      </c>
      <c r="F71" s="43">
        <v>1364849</v>
      </c>
      <c r="G71" s="43">
        <v>872276</v>
      </c>
      <c r="H71" s="43">
        <v>740741</v>
      </c>
      <c r="I71" s="43">
        <v>622883</v>
      </c>
      <c r="J71" s="43">
        <v>2792625</v>
      </c>
      <c r="K71" s="43">
        <v>569107</v>
      </c>
      <c r="L71" s="43">
        <v>380734</v>
      </c>
      <c r="M71" s="43">
        <v>344021</v>
      </c>
      <c r="N71" s="43">
        <v>4343307</v>
      </c>
      <c r="O71" s="43">
        <v>6533110</v>
      </c>
      <c r="P71" s="43">
        <v>511335</v>
      </c>
      <c r="Q71" s="43">
        <v>14609584</v>
      </c>
      <c r="R71" s="43">
        <v>1687992</v>
      </c>
      <c r="S71" s="43">
        <v>1325761</v>
      </c>
      <c r="T71" s="43">
        <v>1651803</v>
      </c>
      <c r="V71" s="43">
        <v>921943</v>
      </c>
      <c r="W71" s="43">
        <v>2333678</v>
      </c>
      <c r="X71" s="43">
        <v>419454</v>
      </c>
      <c r="Y71" s="43">
        <v>834051</v>
      </c>
      <c r="Z71" s="43">
        <v>3891276</v>
      </c>
      <c r="AA71" s="43">
        <v>623111</v>
      </c>
      <c r="AB71" s="43">
        <v>681450</v>
      </c>
      <c r="AC71" s="43">
        <v>796521</v>
      </c>
      <c r="AD71" s="43">
        <v>4542426</v>
      </c>
      <c r="AE71" s="43">
        <v>195271</v>
      </c>
      <c r="AF71" s="43">
        <v>891684</v>
      </c>
      <c r="AG71" s="43">
        <v>250705</v>
      </c>
      <c r="AH71" s="43">
        <v>2225224</v>
      </c>
      <c r="AI71" s="43">
        <v>13365723</v>
      </c>
      <c r="AJ71" s="43">
        <v>2440862</v>
      </c>
      <c r="AK71" s="43">
        <v>263926</v>
      </c>
      <c r="AL71" s="43">
        <v>222610</v>
      </c>
      <c r="AM71" s="44">
        <v>693329</v>
      </c>
      <c r="AN71" s="43">
        <v>6831709</v>
      </c>
      <c r="AP71" s="43">
        <v>2605234</v>
      </c>
      <c r="AQ71" s="43">
        <v>3773849</v>
      </c>
      <c r="AR71" s="43">
        <v>792790</v>
      </c>
      <c r="AS71" s="43">
        <v>985750</v>
      </c>
      <c r="AT71" s="43">
        <v>440221</v>
      </c>
      <c r="AU71" s="43">
        <v>5000588</v>
      </c>
      <c r="AV71" s="43">
        <v>1868490</v>
      </c>
      <c r="AW71" s="43">
        <v>612494</v>
      </c>
      <c r="AX71" s="43">
        <v>626462</v>
      </c>
      <c r="AY71" s="43">
        <v>4268556</v>
      </c>
      <c r="AZ71" s="43">
        <v>321713</v>
      </c>
      <c r="BA71" s="43">
        <v>371848</v>
      </c>
      <c r="BB71" s="43">
        <v>1327160</v>
      </c>
      <c r="BC71" s="43">
        <v>1346714</v>
      </c>
      <c r="BD71" s="43">
        <v>2061176</v>
      </c>
      <c r="BE71" s="43">
        <v>3520857</v>
      </c>
      <c r="BF71" s="43">
        <v>3506080</v>
      </c>
      <c r="BG71" s="43">
        <v>4735570</v>
      </c>
      <c r="BH71" s="43">
        <v>4176343</v>
      </c>
      <c r="BI71" s="43">
        <v>738810</v>
      </c>
      <c r="BJ71" s="43">
        <v>951919</v>
      </c>
      <c r="BK71" s="43">
        <v>1431869</v>
      </c>
      <c r="BL71" s="43">
        <v>554509</v>
      </c>
      <c r="BM71" s="43">
        <v>373743</v>
      </c>
      <c r="BN71" s="43">
        <v>1643319</v>
      </c>
      <c r="BO71" s="43">
        <v>2578708</v>
      </c>
      <c r="BP71" s="43">
        <v>3365088</v>
      </c>
      <c r="BQ71" s="43">
        <v>3797305</v>
      </c>
      <c r="BR71" s="43">
        <v>753315</v>
      </c>
      <c r="BS71" s="43">
        <v>739218</v>
      </c>
      <c r="BT71" s="43">
        <v>1589545</v>
      </c>
      <c r="BU71" s="43">
        <v>2097812</v>
      </c>
      <c r="BV71" s="43">
        <v>5084206</v>
      </c>
      <c r="BW71" s="43">
        <v>5394706</v>
      </c>
      <c r="BX71" s="43">
        <v>2641570</v>
      </c>
      <c r="BY71" s="43">
        <v>1076716</v>
      </c>
      <c r="BZ71" s="43">
        <v>254043</v>
      </c>
      <c r="CA71" s="44">
        <f t="shared" ref="CA71:CA134" si="15">SUM(C71:BZ71)</f>
        <v>163078869</v>
      </c>
    </row>
    <row r="72" spans="1:79" x14ac:dyDescent="0.25">
      <c r="A72" s="62" t="s">
        <v>700</v>
      </c>
      <c r="B72" s="58" t="s">
        <v>701</v>
      </c>
      <c r="C72" s="43">
        <v>114860</v>
      </c>
      <c r="D72" s="43">
        <v>2166841</v>
      </c>
      <c r="E72" s="43">
        <v>210515</v>
      </c>
      <c r="F72" s="43">
        <v>1413711</v>
      </c>
      <c r="G72" s="43">
        <v>183601</v>
      </c>
      <c r="H72" s="43">
        <v>99353</v>
      </c>
      <c r="I72" s="43">
        <v>286211</v>
      </c>
      <c r="J72" s="43">
        <v>937532</v>
      </c>
      <c r="K72" s="43">
        <v>232883</v>
      </c>
      <c r="L72" s="43">
        <v>221705</v>
      </c>
      <c r="M72" s="37">
        <v>0</v>
      </c>
      <c r="N72" s="43">
        <v>2065219</v>
      </c>
      <c r="O72" s="43">
        <v>4711846</v>
      </c>
      <c r="P72" s="43">
        <v>323442</v>
      </c>
      <c r="Q72" s="43">
        <v>6488725</v>
      </c>
      <c r="R72" s="43">
        <v>777627</v>
      </c>
      <c r="S72" s="43">
        <v>655543</v>
      </c>
      <c r="T72" s="43">
        <v>816195</v>
      </c>
      <c r="V72" s="43">
        <v>800714</v>
      </c>
      <c r="W72" s="43">
        <v>929337</v>
      </c>
      <c r="X72" s="43">
        <v>86694</v>
      </c>
      <c r="Y72" s="43">
        <v>118159</v>
      </c>
      <c r="Z72" s="43">
        <v>3779776</v>
      </c>
      <c r="AA72" s="43">
        <v>352650</v>
      </c>
      <c r="AB72" s="43">
        <v>236713</v>
      </c>
      <c r="AC72" s="37">
        <v>0</v>
      </c>
      <c r="AD72" s="43">
        <v>3560520</v>
      </c>
      <c r="AE72" s="43">
        <v>88430</v>
      </c>
      <c r="AF72" s="43">
        <v>387570</v>
      </c>
      <c r="AG72" s="43">
        <v>221798</v>
      </c>
      <c r="AH72" s="43">
        <v>1362587</v>
      </c>
      <c r="AI72" s="43">
        <v>6105857</v>
      </c>
      <c r="AJ72" s="43">
        <v>982114</v>
      </c>
      <c r="AK72" s="43">
        <v>78460</v>
      </c>
      <c r="AL72" s="43">
        <v>106994</v>
      </c>
      <c r="AM72" s="44">
        <v>231931</v>
      </c>
      <c r="AN72" s="43">
        <v>3711086</v>
      </c>
      <c r="AP72" s="43">
        <v>832742</v>
      </c>
      <c r="AQ72" s="43">
        <v>1536976</v>
      </c>
      <c r="AR72" s="43">
        <v>261849</v>
      </c>
      <c r="AS72" s="43">
        <v>376113</v>
      </c>
      <c r="AT72" s="43">
        <v>112355</v>
      </c>
      <c r="AU72" s="43">
        <v>3704821</v>
      </c>
      <c r="AV72" s="43">
        <v>1304123</v>
      </c>
      <c r="AW72" s="43">
        <v>257892</v>
      </c>
      <c r="AX72" s="43">
        <v>365120</v>
      </c>
      <c r="AY72" s="43">
        <v>2663157</v>
      </c>
      <c r="AZ72" s="43">
        <v>51965</v>
      </c>
      <c r="BA72" s="43">
        <v>352398</v>
      </c>
      <c r="BB72" s="43">
        <v>111004</v>
      </c>
      <c r="BC72" s="43">
        <v>627001</v>
      </c>
      <c r="BD72" s="43">
        <v>1103588</v>
      </c>
      <c r="BE72" s="43">
        <v>525010</v>
      </c>
      <c r="BF72" s="43">
        <v>1133940</v>
      </c>
      <c r="BG72" s="43">
        <v>1931947</v>
      </c>
      <c r="BH72" s="43">
        <v>3775506</v>
      </c>
      <c r="BI72" s="43">
        <v>341622</v>
      </c>
      <c r="BJ72" s="43">
        <v>232053</v>
      </c>
      <c r="BK72" s="43">
        <v>1221616</v>
      </c>
      <c r="BL72" s="43">
        <v>461618</v>
      </c>
      <c r="BM72" s="43">
        <v>325763</v>
      </c>
      <c r="BN72" s="43">
        <v>911388</v>
      </c>
      <c r="BO72" s="43">
        <v>1074700</v>
      </c>
      <c r="BP72" s="43">
        <v>787615</v>
      </c>
      <c r="BQ72" s="43">
        <v>1712836</v>
      </c>
      <c r="BR72" s="43">
        <v>313940</v>
      </c>
      <c r="BS72" s="43">
        <v>69145</v>
      </c>
      <c r="BT72" s="43">
        <v>433439</v>
      </c>
      <c r="BU72" s="43">
        <v>973181</v>
      </c>
      <c r="BV72" s="43">
        <v>3071445</v>
      </c>
      <c r="BW72" s="43">
        <v>2503994</v>
      </c>
      <c r="BX72" s="43">
        <v>1217253</v>
      </c>
      <c r="BY72" s="43">
        <v>308983</v>
      </c>
      <c r="BZ72" s="43">
        <v>128121</v>
      </c>
      <c r="CA72" s="44">
        <f t="shared" si="15"/>
        <v>81963418</v>
      </c>
    </row>
    <row r="73" spans="1:79" x14ac:dyDescent="0.25">
      <c r="A73" s="62" t="s">
        <v>702</v>
      </c>
      <c r="B73" s="58" t="s">
        <v>703</v>
      </c>
      <c r="C73" s="37">
        <v>0</v>
      </c>
      <c r="D73" s="43">
        <v>95268</v>
      </c>
      <c r="E73" s="37">
        <v>0</v>
      </c>
      <c r="F73" s="37">
        <v>0</v>
      </c>
      <c r="G73" s="43">
        <v>154632</v>
      </c>
      <c r="H73" s="37">
        <v>0</v>
      </c>
      <c r="I73" s="43">
        <v>341164</v>
      </c>
      <c r="J73" s="37">
        <v>0</v>
      </c>
      <c r="K73" s="43">
        <v>173115</v>
      </c>
      <c r="L73" s="43">
        <v>198628</v>
      </c>
      <c r="M73" s="37">
        <v>0</v>
      </c>
      <c r="N73" s="37">
        <v>0</v>
      </c>
      <c r="O73" s="43">
        <v>1661064</v>
      </c>
      <c r="P73" s="43">
        <v>12746</v>
      </c>
      <c r="Q73" s="43">
        <v>4386575</v>
      </c>
      <c r="R73" s="43">
        <v>158833</v>
      </c>
      <c r="S73" s="37">
        <v>0</v>
      </c>
      <c r="T73" s="43">
        <v>20357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43">
        <v>2907028</v>
      </c>
      <c r="AE73" s="43">
        <v>314912</v>
      </c>
      <c r="AF73" s="37">
        <v>0</v>
      </c>
      <c r="AG73" s="37">
        <v>0</v>
      </c>
      <c r="AH73" s="43">
        <v>56907</v>
      </c>
      <c r="AI73" s="43">
        <v>1107323</v>
      </c>
      <c r="AJ73" s="43">
        <v>70375</v>
      </c>
      <c r="AK73" s="37">
        <v>0</v>
      </c>
      <c r="AL73" s="37">
        <v>0</v>
      </c>
      <c r="AM73" s="44">
        <v>16762</v>
      </c>
      <c r="AN73" s="43">
        <v>268394</v>
      </c>
      <c r="AP73" s="37">
        <v>0</v>
      </c>
      <c r="AQ73" s="43">
        <v>235940</v>
      </c>
      <c r="AR73" s="37">
        <v>0</v>
      </c>
      <c r="AS73" s="43">
        <v>10116</v>
      </c>
      <c r="AT73" s="37">
        <v>0</v>
      </c>
      <c r="AU73" s="43">
        <v>2193807</v>
      </c>
      <c r="AV73" s="43">
        <v>382451</v>
      </c>
      <c r="AW73" s="43">
        <v>82538</v>
      </c>
      <c r="AX73" s="43">
        <v>211200</v>
      </c>
      <c r="AY73" s="37">
        <v>0</v>
      </c>
      <c r="AZ73" s="37">
        <v>0</v>
      </c>
      <c r="BA73" s="43">
        <v>289918</v>
      </c>
      <c r="BB73" s="37">
        <v>0</v>
      </c>
      <c r="BC73" s="37">
        <v>0</v>
      </c>
      <c r="BD73" s="37">
        <v>0</v>
      </c>
      <c r="BE73" s="43">
        <v>227514</v>
      </c>
      <c r="BF73" s="37">
        <v>0</v>
      </c>
      <c r="BG73" s="43">
        <v>92239</v>
      </c>
      <c r="BH73" s="43">
        <v>1119320</v>
      </c>
      <c r="BI73" s="43">
        <v>4549</v>
      </c>
      <c r="BJ73" s="43">
        <v>5721</v>
      </c>
      <c r="BK73" s="43">
        <v>302161</v>
      </c>
      <c r="BL73" s="37">
        <v>0</v>
      </c>
      <c r="BM73" s="43">
        <v>19513</v>
      </c>
      <c r="BN73" s="43">
        <v>41196</v>
      </c>
      <c r="BO73" s="43">
        <v>628343</v>
      </c>
      <c r="BP73" s="43">
        <v>90293</v>
      </c>
      <c r="BQ73" s="43">
        <v>2396</v>
      </c>
      <c r="BR73" s="37">
        <v>0</v>
      </c>
      <c r="BS73" s="37">
        <v>0</v>
      </c>
      <c r="BT73" s="43">
        <v>98772</v>
      </c>
      <c r="BU73" s="43">
        <v>1268</v>
      </c>
      <c r="BV73" s="43">
        <v>8250</v>
      </c>
      <c r="BW73" s="43">
        <v>5494</v>
      </c>
      <c r="BX73" s="43">
        <v>1458850</v>
      </c>
      <c r="BY73" s="43">
        <v>1291443</v>
      </c>
      <c r="BZ73" s="43">
        <v>49040</v>
      </c>
      <c r="CA73" s="44">
        <f t="shared" si="15"/>
        <v>20796415</v>
      </c>
    </row>
    <row r="74" spans="1:79" x14ac:dyDescent="0.25">
      <c r="A74" s="62" t="s">
        <v>704</v>
      </c>
      <c r="B74" s="58" t="s">
        <v>705</v>
      </c>
      <c r="C74" s="37">
        <v>0</v>
      </c>
      <c r="D74" s="37">
        <v>0</v>
      </c>
      <c r="E74" s="37">
        <v>0</v>
      </c>
      <c r="F74" s="43">
        <v>215359</v>
      </c>
      <c r="G74" s="37">
        <v>0</v>
      </c>
      <c r="H74" s="37">
        <v>0</v>
      </c>
      <c r="I74" s="43">
        <v>2274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43">
        <v>1034</v>
      </c>
      <c r="R74" s="37">
        <v>0</v>
      </c>
      <c r="S74" s="43">
        <v>67033</v>
      </c>
      <c r="T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43">
        <v>19400</v>
      </c>
      <c r="AI74" s="37">
        <v>0</v>
      </c>
      <c r="AJ74" s="37">
        <v>0</v>
      </c>
      <c r="AK74" s="37">
        <v>0</v>
      </c>
      <c r="AL74" s="37">
        <v>0</v>
      </c>
      <c r="AM74" s="44">
        <v>16005</v>
      </c>
      <c r="AN74" s="43">
        <v>89175</v>
      </c>
      <c r="AP74" s="37">
        <v>638</v>
      </c>
      <c r="AQ74" s="43">
        <v>52310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146</v>
      </c>
      <c r="AX74" s="37">
        <v>0</v>
      </c>
      <c r="AY74" s="37">
        <v>0</v>
      </c>
      <c r="AZ74" s="37">
        <v>0</v>
      </c>
      <c r="BA74" s="43">
        <v>164162</v>
      </c>
      <c r="BB74" s="43">
        <v>38244</v>
      </c>
      <c r="BC74" s="37">
        <v>0</v>
      </c>
      <c r="BD74" s="37">
        <v>0</v>
      </c>
      <c r="BE74" s="37">
        <v>0</v>
      </c>
      <c r="BF74" s="43">
        <v>56542</v>
      </c>
      <c r="BG74" s="43">
        <v>75418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7">
        <v>0</v>
      </c>
      <c r="BP74" s="37">
        <v>0</v>
      </c>
      <c r="BQ74" s="37">
        <v>0</v>
      </c>
      <c r="BR74" s="37">
        <v>0</v>
      </c>
      <c r="BS74" s="37">
        <v>0</v>
      </c>
      <c r="BT74" s="43">
        <v>26862</v>
      </c>
      <c r="BU74" s="43">
        <v>67063</v>
      </c>
      <c r="BV74" s="43">
        <v>82019</v>
      </c>
      <c r="BW74" s="37">
        <v>0</v>
      </c>
      <c r="BX74" s="37">
        <v>0</v>
      </c>
      <c r="BY74" s="43">
        <v>7380120</v>
      </c>
      <c r="BZ74" s="37">
        <v>0</v>
      </c>
      <c r="CA74" s="44">
        <f t="shared" si="15"/>
        <v>8353804</v>
      </c>
    </row>
    <row r="75" spans="1:79" x14ac:dyDescent="0.25">
      <c r="A75" s="62" t="s">
        <v>706</v>
      </c>
      <c r="B75" s="58" t="s">
        <v>707</v>
      </c>
      <c r="C75" s="37">
        <v>0</v>
      </c>
      <c r="D75" s="43">
        <v>762643</v>
      </c>
      <c r="E75" s="43">
        <v>42650</v>
      </c>
      <c r="F75" s="43">
        <v>257093</v>
      </c>
      <c r="G75" s="43">
        <v>220843</v>
      </c>
      <c r="H75" s="43">
        <v>11012</v>
      </c>
      <c r="I75" s="43">
        <v>219944</v>
      </c>
      <c r="J75" s="43">
        <v>757493</v>
      </c>
      <c r="K75" s="37">
        <v>0</v>
      </c>
      <c r="L75" s="43">
        <v>149166</v>
      </c>
      <c r="M75" s="43">
        <v>102453</v>
      </c>
      <c r="N75" s="43">
        <v>993134</v>
      </c>
      <c r="O75" s="43">
        <v>1646803</v>
      </c>
      <c r="P75" s="37">
        <v>0</v>
      </c>
      <c r="Q75" s="37">
        <v>0</v>
      </c>
      <c r="R75" s="37">
        <v>0</v>
      </c>
      <c r="S75" s="43">
        <v>116574</v>
      </c>
      <c r="T75" s="43">
        <v>330241</v>
      </c>
      <c r="V75" s="43">
        <v>486806</v>
      </c>
      <c r="W75" s="43">
        <v>762279</v>
      </c>
      <c r="X75" s="43">
        <v>144489</v>
      </c>
      <c r="Y75" s="43">
        <v>183282</v>
      </c>
      <c r="Z75" s="37">
        <v>0</v>
      </c>
      <c r="AA75" s="43">
        <v>125151</v>
      </c>
      <c r="AB75" s="43">
        <v>102963</v>
      </c>
      <c r="AC75" s="43">
        <v>240362</v>
      </c>
      <c r="AD75" s="43">
        <v>1154170</v>
      </c>
      <c r="AE75" s="43">
        <v>152118</v>
      </c>
      <c r="AF75" s="43">
        <v>85798</v>
      </c>
      <c r="AG75" s="43">
        <v>94308</v>
      </c>
      <c r="AH75" s="43">
        <v>718130</v>
      </c>
      <c r="AI75" s="37">
        <v>0</v>
      </c>
      <c r="AJ75" s="43">
        <v>68591</v>
      </c>
      <c r="AK75" s="43">
        <v>125507</v>
      </c>
      <c r="AL75" s="37">
        <v>0</v>
      </c>
      <c r="AM75" s="44">
        <v>233501</v>
      </c>
      <c r="AN75" s="43">
        <v>233241</v>
      </c>
      <c r="AP75" s="37">
        <v>0</v>
      </c>
      <c r="AQ75" s="43">
        <v>663394</v>
      </c>
      <c r="AR75" s="37">
        <v>0</v>
      </c>
      <c r="AS75" s="43">
        <v>237413</v>
      </c>
      <c r="AT75" s="43">
        <v>86480</v>
      </c>
      <c r="AU75" s="43">
        <v>1082828</v>
      </c>
      <c r="AV75" s="43">
        <v>598998</v>
      </c>
      <c r="AW75" s="37">
        <v>0</v>
      </c>
      <c r="AX75" s="43">
        <v>123853</v>
      </c>
      <c r="AY75" s="43">
        <v>668785</v>
      </c>
      <c r="AZ75" s="43">
        <v>144760</v>
      </c>
      <c r="BA75" s="43">
        <v>226554</v>
      </c>
      <c r="BB75" s="43">
        <v>272768</v>
      </c>
      <c r="BC75" s="37">
        <v>0</v>
      </c>
      <c r="BD75" s="43">
        <v>44334</v>
      </c>
      <c r="BE75" s="43">
        <v>887834</v>
      </c>
      <c r="BF75" s="43">
        <v>234585</v>
      </c>
      <c r="BG75" s="37">
        <v>0</v>
      </c>
      <c r="BH75" s="43">
        <v>1672662</v>
      </c>
      <c r="BI75" s="37">
        <v>0</v>
      </c>
      <c r="BJ75" s="43">
        <v>280581</v>
      </c>
      <c r="BK75" s="43">
        <v>623282</v>
      </c>
      <c r="BL75" s="43">
        <v>141460</v>
      </c>
      <c r="BM75" s="43">
        <v>207236</v>
      </c>
      <c r="BN75" s="43">
        <v>371250</v>
      </c>
      <c r="BO75" s="43">
        <v>519819</v>
      </c>
      <c r="BP75" s="43">
        <v>61022</v>
      </c>
      <c r="BQ75" s="43">
        <v>1060085</v>
      </c>
      <c r="BR75" s="43">
        <v>108985</v>
      </c>
      <c r="BS75" s="37">
        <v>0</v>
      </c>
      <c r="BT75" s="43">
        <v>101540</v>
      </c>
      <c r="BU75" s="37">
        <v>0</v>
      </c>
      <c r="BV75" s="37">
        <v>0</v>
      </c>
      <c r="BW75" s="37">
        <v>0</v>
      </c>
      <c r="BX75" s="43">
        <v>64798</v>
      </c>
      <c r="BY75" s="43">
        <v>413191</v>
      </c>
      <c r="BZ75" s="43">
        <v>47033</v>
      </c>
      <c r="CA75" s="44">
        <f t="shared" si="15"/>
        <v>21466275</v>
      </c>
    </row>
    <row r="76" spans="1:79" x14ac:dyDescent="0.25">
      <c r="A76" s="56" t="s">
        <v>708</v>
      </c>
      <c r="B76" s="37" t="s">
        <v>709</v>
      </c>
      <c r="AM76" s="44"/>
      <c r="CA76" s="44">
        <f t="shared" si="15"/>
        <v>0</v>
      </c>
    </row>
    <row r="77" spans="1:79" x14ac:dyDescent="0.25">
      <c r="A77" s="62" t="s">
        <v>710</v>
      </c>
      <c r="B77" s="58" t="s">
        <v>711</v>
      </c>
      <c r="C77" s="43">
        <v>1151016</v>
      </c>
      <c r="D77" s="43">
        <v>8493445</v>
      </c>
      <c r="E77" s="43">
        <v>1061226</v>
      </c>
      <c r="F77" s="43">
        <v>2146273</v>
      </c>
      <c r="G77" s="43">
        <v>1298445</v>
      </c>
      <c r="H77" s="43">
        <v>1692697</v>
      </c>
      <c r="I77" s="43">
        <v>652128</v>
      </c>
      <c r="J77" s="43">
        <v>8009947</v>
      </c>
      <c r="K77" s="37">
        <v>0</v>
      </c>
      <c r="L77" s="43">
        <v>511957</v>
      </c>
      <c r="M77" s="43">
        <v>906936</v>
      </c>
      <c r="N77" s="43">
        <v>15383815</v>
      </c>
      <c r="O77" s="43">
        <v>4208913</v>
      </c>
      <c r="P77" s="43">
        <v>559650</v>
      </c>
      <c r="Q77" s="43">
        <v>41462615</v>
      </c>
      <c r="R77" s="43">
        <v>2069688</v>
      </c>
      <c r="S77" s="43">
        <v>3029361</v>
      </c>
      <c r="T77" s="43">
        <v>2371735</v>
      </c>
      <c r="V77" s="43">
        <v>2991723</v>
      </c>
      <c r="W77" s="43">
        <v>3053258</v>
      </c>
      <c r="X77" s="43">
        <v>360034</v>
      </c>
      <c r="Y77" s="43">
        <v>1522184</v>
      </c>
      <c r="Z77" s="43">
        <v>9202483</v>
      </c>
      <c r="AA77" s="43">
        <v>853187</v>
      </c>
      <c r="AB77" s="43">
        <v>1651794</v>
      </c>
      <c r="AC77" s="43">
        <v>1820989</v>
      </c>
      <c r="AD77" s="43">
        <v>4048256</v>
      </c>
      <c r="AE77" s="43">
        <v>291283</v>
      </c>
      <c r="AF77" s="43">
        <v>1657360</v>
      </c>
      <c r="AG77" s="43">
        <v>423473</v>
      </c>
      <c r="AH77" s="43">
        <v>4057308</v>
      </c>
      <c r="AI77" s="43">
        <v>33707161</v>
      </c>
      <c r="AJ77" s="43">
        <v>4829122</v>
      </c>
      <c r="AK77" s="43">
        <v>247388</v>
      </c>
      <c r="AL77" s="43">
        <v>509736</v>
      </c>
      <c r="AM77" s="44">
        <v>1353887</v>
      </c>
      <c r="AN77" s="43">
        <v>10499245</v>
      </c>
      <c r="AP77" s="43">
        <v>1720052</v>
      </c>
      <c r="AQ77" s="43">
        <v>2127712</v>
      </c>
      <c r="AR77" s="43">
        <v>759236</v>
      </c>
      <c r="AS77" s="43">
        <v>1491708</v>
      </c>
      <c r="AT77" s="43">
        <v>381771</v>
      </c>
      <c r="AU77" s="43">
        <v>12349366</v>
      </c>
      <c r="AV77" s="43">
        <v>4543601</v>
      </c>
      <c r="AW77" s="43">
        <v>1006185</v>
      </c>
      <c r="AX77" s="43">
        <v>1041193</v>
      </c>
      <c r="AY77" s="43">
        <v>5024650</v>
      </c>
      <c r="AZ77" s="43">
        <v>380088</v>
      </c>
      <c r="BA77" s="43">
        <v>2617995</v>
      </c>
      <c r="BB77" s="43">
        <v>1059004</v>
      </c>
      <c r="BC77" s="43">
        <v>1970685</v>
      </c>
      <c r="BD77" s="43">
        <v>1928346</v>
      </c>
      <c r="BE77" s="43">
        <v>6699443</v>
      </c>
      <c r="BF77" s="43">
        <v>5560512</v>
      </c>
      <c r="BG77" s="43">
        <v>14226237</v>
      </c>
      <c r="BH77" s="43">
        <v>7425222</v>
      </c>
      <c r="BI77" s="43">
        <v>340672</v>
      </c>
      <c r="BJ77" s="43">
        <v>1566456</v>
      </c>
      <c r="BK77" s="43">
        <v>237715</v>
      </c>
      <c r="BL77" s="43">
        <v>1409764</v>
      </c>
      <c r="BM77" s="43">
        <v>171841</v>
      </c>
      <c r="BN77" s="43">
        <v>1629116</v>
      </c>
      <c r="BO77" s="43">
        <v>1685657</v>
      </c>
      <c r="BP77" s="43">
        <v>2873059</v>
      </c>
      <c r="BQ77" s="43">
        <v>7959244</v>
      </c>
      <c r="BR77" s="43">
        <v>898709</v>
      </c>
      <c r="BS77" s="43">
        <v>1505382</v>
      </c>
      <c r="BT77" s="43">
        <v>1728896</v>
      </c>
      <c r="BU77" s="43">
        <v>2760826</v>
      </c>
      <c r="BV77" s="43">
        <v>7879566</v>
      </c>
      <c r="BW77" s="43">
        <v>3208451</v>
      </c>
      <c r="BX77" s="43">
        <v>5892747</v>
      </c>
      <c r="BY77" s="43">
        <v>3739436</v>
      </c>
      <c r="BZ77" s="43">
        <v>143231</v>
      </c>
      <c r="CA77" s="44">
        <f t="shared" si="15"/>
        <v>296033492</v>
      </c>
    </row>
    <row r="78" spans="1:79" x14ac:dyDescent="0.25">
      <c r="A78" s="62" t="s">
        <v>712</v>
      </c>
      <c r="B78" s="58" t="s">
        <v>713</v>
      </c>
      <c r="C78" s="43">
        <v>673731</v>
      </c>
      <c r="D78" s="43">
        <v>6635501</v>
      </c>
      <c r="E78" s="43">
        <v>199373</v>
      </c>
      <c r="F78" s="43">
        <v>1507942</v>
      </c>
      <c r="G78" s="43">
        <v>891147</v>
      </c>
      <c r="H78" s="43">
        <v>517732</v>
      </c>
      <c r="I78" s="43">
        <v>645505</v>
      </c>
      <c r="J78" s="43">
        <v>1953825</v>
      </c>
      <c r="K78" s="43">
        <v>318361</v>
      </c>
      <c r="L78" s="43">
        <v>448338</v>
      </c>
      <c r="M78" s="43">
        <v>337128</v>
      </c>
      <c r="N78" s="43">
        <v>4697270</v>
      </c>
      <c r="O78" s="43">
        <v>7541892</v>
      </c>
      <c r="P78" s="43">
        <v>427781</v>
      </c>
      <c r="Q78" s="43">
        <v>9713481</v>
      </c>
      <c r="R78" s="43">
        <v>1384656</v>
      </c>
      <c r="S78" s="43">
        <v>1001009</v>
      </c>
      <c r="T78" s="43">
        <v>1241349</v>
      </c>
      <c r="V78" s="43">
        <v>647376</v>
      </c>
      <c r="W78" s="43">
        <v>2163901</v>
      </c>
      <c r="X78" s="43">
        <v>269739</v>
      </c>
      <c r="Y78" s="43">
        <v>939553</v>
      </c>
      <c r="Z78" s="43">
        <v>3622186</v>
      </c>
      <c r="AA78" s="43">
        <v>512030</v>
      </c>
      <c r="AB78" s="43">
        <v>683601</v>
      </c>
      <c r="AC78" s="43">
        <v>635754</v>
      </c>
      <c r="AD78" s="43">
        <v>3118869</v>
      </c>
      <c r="AE78" s="43">
        <v>195541</v>
      </c>
      <c r="AF78" s="43">
        <v>654967</v>
      </c>
      <c r="AG78" s="43">
        <v>256128</v>
      </c>
      <c r="AH78" s="43">
        <v>2733629</v>
      </c>
      <c r="AI78" s="43">
        <v>14055182</v>
      </c>
      <c r="AJ78" s="43">
        <v>1630187</v>
      </c>
      <c r="AK78" s="43">
        <v>301013</v>
      </c>
      <c r="AL78" s="43">
        <v>393852</v>
      </c>
      <c r="AM78" s="44">
        <v>460562</v>
      </c>
      <c r="AN78" s="43">
        <v>8018411</v>
      </c>
      <c r="AP78" s="43">
        <v>2231552</v>
      </c>
      <c r="AQ78" s="43">
        <v>3141180</v>
      </c>
      <c r="AR78" s="43">
        <v>869788</v>
      </c>
      <c r="AS78" s="43">
        <v>570981</v>
      </c>
      <c r="AT78" s="43">
        <v>434664</v>
      </c>
      <c r="AU78" s="43">
        <v>4377158</v>
      </c>
      <c r="AV78" s="43">
        <v>1713430</v>
      </c>
      <c r="AW78" s="43">
        <v>612919</v>
      </c>
      <c r="AX78" s="43">
        <v>570329</v>
      </c>
      <c r="AY78" s="43">
        <v>3410547</v>
      </c>
      <c r="AZ78" s="43">
        <v>186306</v>
      </c>
      <c r="BA78" s="43">
        <v>677589</v>
      </c>
      <c r="BB78" s="43">
        <v>531995</v>
      </c>
      <c r="BC78" s="43">
        <v>1386175</v>
      </c>
      <c r="BD78" s="43">
        <v>2207717</v>
      </c>
      <c r="BE78" s="43">
        <v>3217001</v>
      </c>
      <c r="BF78" s="43">
        <v>2419765</v>
      </c>
      <c r="BG78" s="43">
        <v>4531470</v>
      </c>
      <c r="BH78" s="43">
        <v>4899366</v>
      </c>
      <c r="BI78" s="43">
        <v>476174</v>
      </c>
      <c r="BJ78" s="43">
        <v>1303033</v>
      </c>
      <c r="BK78" s="43">
        <v>1907517</v>
      </c>
      <c r="BL78" s="43">
        <v>680495</v>
      </c>
      <c r="BM78" s="43">
        <v>471032</v>
      </c>
      <c r="BN78" s="43">
        <v>1724899</v>
      </c>
      <c r="BO78" s="43">
        <v>2072115</v>
      </c>
      <c r="BP78" s="43">
        <v>1494716</v>
      </c>
      <c r="BQ78" s="43">
        <v>2755519</v>
      </c>
      <c r="BR78" s="43">
        <v>564130</v>
      </c>
      <c r="BS78" s="43">
        <v>671096</v>
      </c>
      <c r="BT78" s="43">
        <v>927255</v>
      </c>
      <c r="BU78" s="43">
        <v>1360318</v>
      </c>
      <c r="BV78" s="43">
        <v>2414446</v>
      </c>
      <c r="BW78" s="43">
        <v>2234219</v>
      </c>
      <c r="BX78" s="43">
        <v>515396</v>
      </c>
      <c r="BY78" s="43">
        <v>271781</v>
      </c>
      <c r="BZ78" s="43">
        <v>36477</v>
      </c>
      <c r="CA78" s="44">
        <f t="shared" si="15"/>
        <v>141299052</v>
      </c>
    </row>
    <row r="79" spans="1:79" x14ac:dyDescent="0.25">
      <c r="A79" s="63" t="s">
        <v>714</v>
      </c>
      <c r="B79" s="59" t="s">
        <v>715</v>
      </c>
      <c r="C79" s="43">
        <v>711447</v>
      </c>
      <c r="D79" s="43">
        <v>2026085</v>
      </c>
      <c r="E79" s="43">
        <v>649787</v>
      </c>
      <c r="F79" s="43">
        <v>495640</v>
      </c>
      <c r="G79" s="43">
        <v>455212</v>
      </c>
      <c r="H79" s="43">
        <v>386027</v>
      </c>
      <c r="I79" s="43">
        <v>354115</v>
      </c>
      <c r="J79" s="43">
        <v>1142776</v>
      </c>
      <c r="K79" s="43">
        <v>991553</v>
      </c>
      <c r="L79" s="43">
        <v>454782</v>
      </c>
      <c r="M79" s="43">
        <v>290854</v>
      </c>
      <c r="N79" s="43">
        <v>2366085</v>
      </c>
      <c r="O79" s="43">
        <v>2818692</v>
      </c>
      <c r="P79" s="43">
        <v>477221</v>
      </c>
      <c r="Q79" s="43">
        <v>18934090</v>
      </c>
      <c r="R79" s="43">
        <v>1483471</v>
      </c>
      <c r="S79" s="43">
        <v>1093577</v>
      </c>
      <c r="T79" s="43">
        <v>1142485</v>
      </c>
      <c r="V79" s="43">
        <v>1700509</v>
      </c>
      <c r="W79" s="43">
        <v>2346401</v>
      </c>
      <c r="X79" s="43">
        <v>252934</v>
      </c>
      <c r="Y79" s="43">
        <v>1075597</v>
      </c>
      <c r="Z79" s="43">
        <v>3015429</v>
      </c>
      <c r="AA79" s="43">
        <v>697275</v>
      </c>
      <c r="AB79" s="43">
        <v>762558</v>
      </c>
      <c r="AC79" s="43">
        <v>687986</v>
      </c>
      <c r="AD79" s="43">
        <v>4488418</v>
      </c>
      <c r="AE79" s="43">
        <v>97653</v>
      </c>
      <c r="AF79" s="43">
        <v>664533</v>
      </c>
      <c r="AG79" s="43">
        <v>70327</v>
      </c>
      <c r="AH79" s="43">
        <v>1831466</v>
      </c>
      <c r="AI79" s="43">
        <v>2395872</v>
      </c>
      <c r="AJ79" s="43">
        <v>2127204</v>
      </c>
      <c r="AK79" s="43">
        <v>190444</v>
      </c>
      <c r="AL79" s="43">
        <v>289729</v>
      </c>
      <c r="AM79" s="44">
        <v>603498</v>
      </c>
      <c r="AN79" s="43">
        <v>4329247</v>
      </c>
      <c r="AP79" s="43">
        <v>1208898</v>
      </c>
      <c r="AQ79" s="43">
        <v>3918870</v>
      </c>
      <c r="AR79" s="43">
        <v>1047867</v>
      </c>
      <c r="AS79" s="43">
        <v>484969</v>
      </c>
      <c r="AT79" s="43">
        <v>1089378</v>
      </c>
      <c r="AU79" s="43">
        <v>1538857</v>
      </c>
      <c r="AV79" s="43">
        <v>1269752</v>
      </c>
      <c r="AW79" s="43">
        <v>1142615</v>
      </c>
      <c r="AX79" s="43">
        <v>448483</v>
      </c>
      <c r="AY79" s="43">
        <v>2894439</v>
      </c>
      <c r="AZ79" s="43">
        <v>95106</v>
      </c>
      <c r="BA79" s="43">
        <v>959737</v>
      </c>
      <c r="BB79" s="43">
        <v>1309802</v>
      </c>
      <c r="BC79" s="43">
        <v>1058136</v>
      </c>
      <c r="BD79" s="43">
        <v>2686149</v>
      </c>
      <c r="BE79" s="43">
        <v>3586879</v>
      </c>
      <c r="BF79" s="43">
        <v>1346169</v>
      </c>
      <c r="BG79" s="43">
        <v>4470058</v>
      </c>
      <c r="BH79" s="43">
        <v>7473649</v>
      </c>
      <c r="BI79" s="43">
        <v>413200</v>
      </c>
      <c r="BJ79" s="43">
        <v>477797</v>
      </c>
      <c r="BK79" s="43">
        <v>1515061</v>
      </c>
      <c r="BL79" s="43">
        <v>502433</v>
      </c>
      <c r="BM79" s="43">
        <v>499603</v>
      </c>
      <c r="BN79" s="43">
        <v>749518</v>
      </c>
      <c r="BO79" s="43">
        <v>1014686</v>
      </c>
      <c r="BP79" s="43">
        <v>1367966</v>
      </c>
      <c r="BQ79" s="43">
        <v>2019306</v>
      </c>
      <c r="BR79" s="43">
        <v>433728</v>
      </c>
      <c r="BS79" s="43">
        <v>1363390</v>
      </c>
      <c r="BT79" s="43">
        <v>555173</v>
      </c>
      <c r="BU79" s="43">
        <v>1428904</v>
      </c>
      <c r="BV79" s="43">
        <v>3864683</v>
      </c>
      <c r="BW79" s="43">
        <v>2439188</v>
      </c>
      <c r="BX79" s="43">
        <v>3193950</v>
      </c>
      <c r="BY79" s="43">
        <v>1759666</v>
      </c>
      <c r="BZ79" s="43">
        <v>302417</v>
      </c>
      <c r="CA79" s="44">
        <f t="shared" si="15"/>
        <v>125831461</v>
      </c>
    </row>
    <row r="80" spans="1:79" x14ac:dyDescent="0.25">
      <c r="A80" s="62" t="s">
        <v>716</v>
      </c>
      <c r="B80" s="58" t="s">
        <v>717</v>
      </c>
      <c r="C80" s="43">
        <v>207986</v>
      </c>
      <c r="D80" s="43">
        <v>1821556</v>
      </c>
      <c r="E80" s="43">
        <v>668786</v>
      </c>
      <c r="F80" s="43">
        <v>745771</v>
      </c>
      <c r="G80" s="43">
        <v>225733</v>
      </c>
      <c r="H80" s="43">
        <v>106491</v>
      </c>
      <c r="I80" s="43">
        <v>154664</v>
      </c>
      <c r="J80" s="43">
        <v>1397386</v>
      </c>
      <c r="K80" s="43">
        <v>166475</v>
      </c>
      <c r="L80" s="43">
        <v>79532</v>
      </c>
      <c r="M80" s="43">
        <v>76038</v>
      </c>
      <c r="N80" s="43">
        <v>3712224</v>
      </c>
      <c r="O80" s="43">
        <v>11400548</v>
      </c>
      <c r="P80" s="43">
        <v>71289</v>
      </c>
      <c r="Q80" s="43">
        <v>3013291</v>
      </c>
      <c r="R80" s="43">
        <v>342750</v>
      </c>
      <c r="S80" s="43">
        <v>694734</v>
      </c>
      <c r="T80" s="43">
        <v>1806720</v>
      </c>
      <c r="V80" s="43">
        <v>514615</v>
      </c>
      <c r="W80" s="43">
        <v>729997</v>
      </c>
      <c r="X80" s="43">
        <v>121437</v>
      </c>
      <c r="Y80" s="43">
        <v>495316</v>
      </c>
      <c r="Z80" s="43">
        <v>1733238</v>
      </c>
      <c r="AA80" s="43">
        <v>668182</v>
      </c>
      <c r="AB80" s="43">
        <v>220110</v>
      </c>
      <c r="AC80" s="43">
        <v>454395</v>
      </c>
      <c r="AD80" s="43">
        <v>1047333</v>
      </c>
      <c r="AE80" s="43">
        <v>90586</v>
      </c>
      <c r="AF80" s="43">
        <v>709341</v>
      </c>
      <c r="AG80" s="43">
        <v>19895</v>
      </c>
      <c r="AH80" s="43">
        <v>1509633</v>
      </c>
      <c r="AI80" s="43">
        <v>5857194</v>
      </c>
      <c r="AJ80" s="43">
        <v>1160486</v>
      </c>
      <c r="AK80" s="43">
        <v>38866</v>
      </c>
      <c r="AL80" s="43">
        <v>134599</v>
      </c>
      <c r="AM80" s="44">
        <v>401285</v>
      </c>
      <c r="AN80" s="43">
        <v>6941331</v>
      </c>
      <c r="AP80" s="43">
        <v>475294</v>
      </c>
      <c r="AQ80" s="43">
        <v>1083725</v>
      </c>
      <c r="AR80" s="43">
        <v>2329651</v>
      </c>
      <c r="AS80" s="43">
        <v>214989</v>
      </c>
      <c r="AT80" s="43">
        <v>445280</v>
      </c>
      <c r="AU80" s="43">
        <v>2995570</v>
      </c>
      <c r="AV80" s="43">
        <v>1185846</v>
      </c>
      <c r="AW80" s="43">
        <v>105387</v>
      </c>
      <c r="AX80" s="43">
        <v>25612</v>
      </c>
      <c r="AY80" s="43">
        <v>1238812</v>
      </c>
      <c r="AZ80" s="43">
        <v>81180</v>
      </c>
      <c r="BA80" s="43">
        <v>1587457</v>
      </c>
      <c r="BB80" s="43">
        <v>555698</v>
      </c>
      <c r="BC80" s="43">
        <v>569809</v>
      </c>
      <c r="BD80" s="43">
        <v>799499</v>
      </c>
      <c r="BE80" s="43">
        <v>2184203</v>
      </c>
      <c r="BF80" s="43">
        <v>1984161</v>
      </c>
      <c r="BG80" s="43">
        <v>9840514</v>
      </c>
      <c r="BH80" s="43">
        <v>3582439</v>
      </c>
      <c r="BI80" s="43">
        <v>22924</v>
      </c>
      <c r="BJ80" s="43">
        <v>276258</v>
      </c>
      <c r="BK80" s="43">
        <v>4390578</v>
      </c>
      <c r="BL80" s="43">
        <v>413621</v>
      </c>
      <c r="BM80" s="43">
        <v>463737</v>
      </c>
      <c r="BN80" s="43">
        <v>2071772</v>
      </c>
      <c r="BO80" s="43">
        <v>1234758</v>
      </c>
      <c r="BP80" s="43">
        <v>1036252</v>
      </c>
      <c r="BQ80" s="43">
        <v>1991930</v>
      </c>
      <c r="BR80" s="43">
        <v>353048</v>
      </c>
      <c r="BS80" s="43">
        <v>454724</v>
      </c>
      <c r="BT80" s="43">
        <v>183722</v>
      </c>
      <c r="BU80" s="43">
        <v>381932</v>
      </c>
      <c r="BV80" s="43">
        <v>1421128</v>
      </c>
      <c r="BW80" s="43">
        <v>1421420</v>
      </c>
      <c r="BX80" s="43">
        <v>1764660</v>
      </c>
      <c r="BY80" s="43">
        <v>1311360</v>
      </c>
      <c r="BZ80" s="43">
        <v>229483</v>
      </c>
      <c r="CA80" s="44">
        <f t="shared" si="15"/>
        <v>100248246</v>
      </c>
    </row>
    <row r="81" spans="1:79" x14ac:dyDescent="0.25">
      <c r="A81" s="56" t="s">
        <v>718</v>
      </c>
      <c r="B81" s="37" t="s">
        <v>719</v>
      </c>
      <c r="AM81" s="44"/>
      <c r="CA81" s="44">
        <f t="shared" si="15"/>
        <v>0</v>
      </c>
    </row>
    <row r="82" spans="1:79" x14ac:dyDescent="0.25">
      <c r="A82" s="63" t="s">
        <v>720</v>
      </c>
      <c r="B82" s="59" t="s">
        <v>721</v>
      </c>
      <c r="C82" s="43">
        <v>283304</v>
      </c>
      <c r="D82" s="43">
        <v>2271273</v>
      </c>
      <c r="E82" s="43">
        <v>185380</v>
      </c>
      <c r="F82" s="43">
        <v>133743</v>
      </c>
      <c r="G82" s="43">
        <v>72915</v>
      </c>
      <c r="H82" s="43">
        <v>755418</v>
      </c>
      <c r="I82" s="43">
        <v>850154</v>
      </c>
      <c r="J82" s="43">
        <v>296304</v>
      </c>
      <c r="K82" s="43">
        <v>321111</v>
      </c>
      <c r="L82" s="43">
        <v>97232</v>
      </c>
      <c r="M82" s="43">
        <v>351445</v>
      </c>
      <c r="N82" s="43">
        <v>724728</v>
      </c>
      <c r="O82" s="43">
        <v>480031</v>
      </c>
      <c r="P82" s="43">
        <v>255898</v>
      </c>
      <c r="Q82" s="43">
        <v>2661625</v>
      </c>
      <c r="R82" s="43">
        <v>474794</v>
      </c>
      <c r="S82" s="43">
        <v>1107991</v>
      </c>
      <c r="T82" s="43">
        <v>334093</v>
      </c>
      <c r="V82" s="43">
        <v>321515</v>
      </c>
      <c r="W82" s="43">
        <v>253373</v>
      </c>
      <c r="X82" s="43">
        <v>210695</v>
      </c>
      <c r="Y82" s="43">
        <v>705034</v>
      </c>
      <c r="Z82" s="43">
        <v>510155</v>
      </c>
      <c r="AA82" s="43">
        <v>300129</v>
      </c>
      <c r="AB82" s="43">
        <v>471832</v>
      </c>
      <c r="AC82" s="43">
        <v>203749</v>
      </c>
      <c r="AD82" s="43">
        <v>755589</v>
      </c>
      <c r="AE82" s="43">
        <v>106177</v>
      </c>
      <c r="AF82" s="43">
        <v>838259</v>
      </c>
      <c r="AG82" s="43">
        <v>116004</v>
      </c>
      <c r="AH82" s="43">
        <v>461749</v>
      </c>
      <c r="AI82" s="43">
        <v>571547</v>
      </c>
      <c r="AJ82" s="43">
        <v>261217</v>
      </c>
      <c r="AK82" s="43">
        <v>90217</v>
      </c>
      <c r="AL82" s="43">
        <v>163218</v>
      </c>
      <c r="AM82" s="44">
        <v>386342</v>
      </c>
      <c r="AN82" s="43">
        <v>1085677</v>
      </c>
      <c r="AP82" s="43">
        <v>251773</v>
      </c>
      <c r="AQ82" s="43">
        <v>3276576</v>
      </c>
      <c r="AR82" s="43">
        <v>181177</v>
      </c>
      <c r="AS82" s="43">
        <v>368298</v>
      </c>
      <c r="AT82" s="43">
        <v>189321</v>
      </c>
      <c r="AU82" s="43">
        <v>486564</v>
      </c>
      <c r="AV82" s="43">
        <v>506457</v>
      </c>
      <c r="AW82" s="43">
        <v>101282</v>
      </c>
      <c r="AX82" s="43">
        <v>107969</v>
      </c>
      <c r="AY82" s="43">
        <v>1321683</v>
      </c>
      <c r="AZ82" s="43">
        <v>129596</v>
      </c>
      <c r="BA82" s="43">
        <v>297433</v>
      </c>
      <c r="BB82" s="43">
        <v>2256631</v>
      </c>
      <c r="BC82" s="43">
        <v>732205</v>
      </c>
      <c r="BD82" s="43">
        <v>510810</v>
      </c>
      <c r="BE82" s="43">
        <v>535076</v>
      </c>
      <c r="BF82" s="43">
        <v>285991</v>
      </c>
      <c r="BG82" s="43">
        <v>1279499</v>
      </c>
      <c r="BH82" s="43">
        <v>575404</v>
      </c>
      <c r="BI82" s="43">
        <v>126806</v>
      </c>
      <c r="BJ82" s="43">
        <v>219267</v>
      </c>
      <c r="BK82" s="43">
        <v>207992</v>
      </c>
      <c r="BL82" s="43">
        <v>175860</v>
      </c>
      <c r="BM82" s="43">
        <v>172632</v>
      </c>
      <c r="BN82" s="43">
        <v>262084</v>
      </c>
      <c r="BO82" s="43">
        <v>174415</v>
      </c>
      <c r="BP82" s="43">
        <v>200799</v>
      </c>
      <c r="BQ82" s="43">
        <v>382831</v>
      </c>
      <c r="BR82" s="43">
        <v>129177</v>
      </c>
      <c r="BS82" s="43">
        <v>205864</v>
      </c>
      <c r="BT82" s="43">
        <v>522840</v>
      </c>
      <c r="BU82" s="43">
        <v>188740</v>
      </c>
      <c r="BV82" s="43">
        <v>795326</v>
      </c>
      <c r="BW82" s="43">
        <v>348567</v>
      </c>
      <c r="BX82" s="43">
        <v>2839389</v>
      </c>
      <c r="BY82" s="43">
        <v>1797059</v>
      </c>
      <c r="BZ82" s="43">
        <v>460918</v>
      </c>
      <c r="CA82" s="44">
        <f t="shared" si="15"/>
        <v>42074228</v>
      </c>
    </row>
    <row r="83" spans="1:79" x14ac:dyDescent="0.25">
      <c r="A83" s="63" t="s">
        <v>722</v>
      </c>
      <c r="B83" s="59" t="s">
        <v>723</v>
      </c>
      <c r="C83" s="43">
        <v>228223</v>
      </c>
      <c r="D83" s="43">
        <v>1012548</v>
      </c>
      <c r="E83" s="43">
        <v>501897</v>
      </c>
      <c r="F83" s="43">
        <v>748257</v>
      </c>
      <c r="G83" s="43">
        <v>402806</v>
      </c>
      <c r="H83" s="43">
        <v>329105</v>
      </c>
      <c r="I83" s="43">
        <v>446429</v>
      </c>
      <c r="J83" s="43">
        <v>674430</v>
      </c>
      <c r="K83" s="43">
        <v>614048</v>
      </c>
      <c r="L83" s="43">
        <v>337918</v>
      </c>
      <c r="M83" s="43">
        <v>297720</v>
      </c>
      <c r="N83" s="43">
        <v>511447</v>
      </c>
      <c r="O83" s="43">
        <v>2748731</v>
      </c>
      <c r="P83" s="43">
        <v>521892</v>
      </c>
      <c r="Q83" s="43">
        <v>2096580</v>
      </c>
      <c r="R83" s="43">
        <v>750669</v>
      </c>
      <c r="S83" s="43">
        <v>490043</v>
      </c>
      <c r="T83" s="43">
        <v>388208</v>
      </c>
      <c r="V83" s="43">
        <v>1241571</v>
      </c>
      <c r="W83" s="43">
        <v>1229370</v>
      </c>
      <c r="X83" s="43">
        <v>295925</v>
      </c>
      <c r="Y83" s="43">
        <v>578008</v>
      </c>
      <c r="Z83" s="43">
        <v>1278837</v>
      </c>
      <c r="AA83" s="43">
        <v>351511</v>
      </c>
      <c r="AB83" s="43">
        <v>382124</v>
      </c>
      <c r="AC83" s="43">
        <v>488265</v>
      </c>
      <c r="AD83" s="43">
        <v>640119</v>
      </c>
      <c r="AE83" s="43">
        <v>304485</v>
      </c>
      <c r="AF83" s="43">
        <v>493642</v>
      </c>
      <c r="AG83" s="43">
        <v>284443</v>
      </c>
      <c r="AH83" s="43">
        <v>1022808</v>
      </c>
      <c r="AI83" s="43">
        <v>2867905</v>
      </c>
      <c r="AJ83" s="43">
        <v>464111</v>
      </c>
      <c r="AK83" s="43">
        <v>205027</v>
      </c>
      <c r="AL83" s="43">
        <v>562540</v>
      </c>
      <c r="AM83" s="44">
        <v>512456</v>
      </c>
      <c r="AN83" s="43">
        <v>892160</v>
      </c>
      <c r="AP83" s="43">
        <v>1141941</v>
      </c>
      <c r="AQ83" s="43">
        <v>571011</v>
      </c>
      <c r="AR83" s="43">
        <v>1505872</v>
      </c>
      <c r="AS83" s="43">
        <v>646155</v>
      </c>
      <c r="AT83" s="43">
        <v>507782</v>
      </c>
      <c r="AU83" s="43">
        <v>541048</v>
      </c>
      <c r="AV83" s="43">
        <v>484100</v>
      </c>
      <c r="AW83" s="43">
        <v>305628</v>
      </c>
      <c r="AX83" s="43">
        <v>398815</v>
      </c>
      <c r="AY83" s="43">
        <v>450498</v>
      </c>
      <c r="AZ83" s="43">
        <v>298528</v>
      </c>
      <c r="BA83" s="43">
        <v>475929</v>
      </c>
      <c r="BB83" s="43">
        <v>382129</v>
      </c>
      <c r="BC83" s="43">
        <v>342204</v>
      </c>
      <c r="BD83" s="43">
        <v>491218</v>
      </c>
      <c r="BE83" s="43">
        <v>883025</v>
      </c>
      <c r="BF83" s="43">
        <v>811511</v>
      </c>
      <c r="BG83" s="43">
        <v>3220572</v>
      </c>
      <c r="BH83" s="43">
        <v>1659042</v>
      </c>
      <c r="BI83" s="43">
        <v>388197</v>
      </c>
      <c r="BJ83" s="43">
        <v>564100</v>
      </c>
      <c r="BK83" s="43">
        <v>500371</v>
      </c>
      <c r="BL83" s="43">
        <v>577358</v>
      </c>
      <c r="BM83" s="43">
        <v>464569</v>
      </c>
      <c r="BN83" s="43">
        <v>500546</v>
      </c>
      <c r="BO83" s="43">
        <v>777419</v>
      </c>
      <c r="BP83" s="43">
        <v>559161</v>
      </c>
      <c r="BQ83" s="43">
        <v>683046</v>
      </c>
      <c r="BR83" s="43">
        <v>687489</v>
      </c>
      <c r="BS83" s="43">
        <v>550043</v>
      </c>
      <c r="BT83" s="43">
        <v>452979</v>
      </c>
      <c r="BU83" s="43">
        <v>598011</v>
      </c>
      <c r="BV83" s="43">
        <v>1033771</v>
      </c>
      <c r="BW83" s="43">
        <v>625311</v>
      </c>
      <c r="BX83" s="43">
        <v>2201499</v>
      </c>
      <c r="BY83" s="43">
        <v>1511387</v>
      </c>
      <c r="BZ83" s="43">
        <v>314421</v>
      </c>
      <c r="CA83" s="44">
        <f t="shared" si="15"/>
        <v>55302944</v>
      </c>
    </row>
    <row r="84" spans="1:79" x14ac:dyDescent="0.25">
      <c r="A84" s="63" t="s">
        <v>724</v>
      </c>
      <c r="B84" s="59" t="s">
        <v>725</v>
      </c>
      <c r="C84" s="43">
        <v>1958676</v>
      </c>
      <c r="D84" s="43">
        <v>18346845</v>
      </c>
      <c r="E84" s="43">
        <v>1216237</v>
      </c>
      <c r="F84" s="43">
        <v>7293119</v>
      </c>
      <c r="G84" s="43">
        <v>2560952</v>
      </c>
      <c r="H84" s="43">
        <v>2280707</v>
      </c>
      <c r="I84" s="43">
        <v>2660350</v>
      </c>
      <c r="J84" s="43">
        <v>10610486</v>
      </c>
      <c r="K84" s="43">
        <v>1601977</v>
      </c>
      <c r="L84" s="43">
        <v>1497340</v>
      </c>
      <c r="M84" s="43">
        <v>1227570</v>
      </c>
      <c r="N84" s="43">
        <v>22656448</v>
      </c>
      <c r="O84" s="43">
        <v>29330315</v>
      </c>
      <c r="P84" s="43">
        <v>1253422</v>
      </c>
      <c r="Q84" s="43">
        <v>58570862</v>
      </c>
      <c r="R84" s="43">
        <v>5933730</v>
      </c>
      <c r="S84" s="43">
        <v>5244678</v>
      </c>
      <c r="T84" s="43">
        <v>6112138</v>
      </c>
      <c r="V84" s="43">
        <v>4004465</v>
      </c>
      <c r="W84" s="43">
        <v>8763887</v>
      </c>
      <c r="X84" s="43">
        <v>908123</v>
      </c>
      <c r="Y84" s="43">
        <v>2392778</v>
      </c>
      <c r="Z84" s="43">
        <v>17771225</v>
      </c>
      <c r="AA84" s="43">
        <v>2161381</v>
      </c>
      <c r="AB84" s="43">
        <v>3025797</v>
      </c>
      <c r="AC84" s="43">
        <v>3367799</v>
      </c>
      <c r="AD84" s="43">
        <v>11511941</v>
      </c>
      <c r="AE84" s="43">
        <v>876830</v>
      </c>
      <c r="AF84" s="43">
        <v>3325746</v>
      </c>
      <c r="AG84" s="43">
        <v>1095221</v>
      </c>
      <c r="AH84" s="43">
        <v>8922953</v>
      </c>
      <c r="AI84" s="43">
        <v>63402739</v>
      </c>
      <c r="AJ84" s="43">
        <v>6601711</v>
      </c>
      <c r="AK84" s="43">
        <v>519157</v>
      </c>
      <c r="AL84" s="43">
        <v>1142335</v>
      </c>
      <c r="AM84" s="44">
        <v>2842316</v>
      </c>
      <c r="AN84" s="43">
        <v>34906223</v>
      </c>
      <c r="AP84" s="43">
        <v>8664152</v>
      </c>
      <c r="AQ84" s="43">
        <v>14765509</v>
      </c>
      <c r="AR84" s="43">
        <v>3859095</v>
      </c>
      <c r="AS84" s="43">
        <v>2317227</v>
      </c>
      <c r="AT84" s="43">
        <v>1981678</v>
      </c>
      <c r="AU84" s="43">
        <v>18726980</v>
      </c>
      <c r="AV84" s="43">
        <v>8177816</v>
      </c>
      <c r="AW84" s="43">
        <v>1659798</v>
      </c>
      <c r="AX84" s="43">
        <v>3080012</v>
      </c>
      <c r="AY84" s="43">
        <v>17670461</v>
      </c>
      <c r="AZ84" s="43">
        <v>927736</v>
      </c>
      <c r="BA84" s="43">
        <v>3273714</v>
      </c>
      <c r="BB84" s="43">
        <v>3248955</v>
      </c>
      <c r="BC84" s="43">
        <v>5800927</v>
      </c>
      <c r="BD84" s="43">
        <v>8805298</v>
      </c>
      <c r="BE84" s="43">
        <v>12981268</v>
      </c>
      <c r="BF84" s="43">
        <v>12502140</v>
      </c>
      <c r="BG84" s="43">
        <v>28579388</v>
      </c>
      <c r="BH84" s="43">
        <v>31909892</v>
      </c>
      <c r="BI84" s="43">
        <v>2303589</v>
      </c>
      <c r="BJ84" s="43">
        <v>4066314</v>
      </c>
      <c r="BK84" s="43">
        <v>7542497</v>
      </c>
      <c r="BL84" s="43">
        <v>2141988</v>
      </c>
      <c r="BM84" s="43">
        <v>2157674</v>
      </c>
      <c r="BN84" s="43">
        <v>7544069</v>
      </c>
      <c r="BO84" s="43">
        <v>8684044</v>
      </c>
      <c r="BP84" s="43">
        <v>7162954</v>
      </c>
      <c r="BQ84" s="43">
        <v>12017310</v>
      </c>
      <c r="BR84" s="43">
        <v>3260845</v>
      </c>
      <c r="BS84" s="43">
        <v>3546358</v>
      </c>
      <c r="BT84" s="43">
        <v>4360990</v>
      </c>
      <c r="BU84" s="43">
        <v>6843564</v>
      </c>
      <c r="BV84" s="43">
        <v>13394441</v>
      </c>
      <c r="BW84" s="43">
        <v>12241626</v>
      </c>
      <c r="BX84" s="43">
        <v>24420115</v>
      </c>
      <c r="BY84" s="43">
        <v>39145160</v>
      </c>
      <c r="BZ84" s="43">
        <v>3243506</v>
      </c>
      <c r="CA84" s="44">
        <f t="shared" si="15"/>
        <v>710907569</v>
      </c>
    </row>
    <row r="85" spans="1:79" x14ac:dyDescent="0.25">
      <c r="A85" s="56" t="s">
        <v>726</v>
      </c>
      <c r="B85" s="37" t="s">
        <v>727</v>
      </c>
      <c r="AM85" s="44"/>
      <c r="CA85" s="44">
        <f t="shared" si="15"/>
        <v>0</v>
      </c>
    </row>
    <row r="86" spans="1:79" x14ac:dyDescent="0.25">
      <c r="A86" s="64" t="s">
        <v>728</v>
      </c>
      <c r="B86" s="52" t="s">
        <v>729</v>
      </c>
      <c r="C86" s="43">
        <v>23761</v>
      </c>
      <c r="D86" s="43">
        <v>1566821</v>
      </c>
      <c r="E86" s="43">
        <v>81938</v>
      </c>
      <c r="F86" s="43">
        <v>63607</v>
      </c>
      <c r="G86" s="43">
        <v>73472</v>
      </c>
      <c r="H86" s="43">
        <v>73206</v>
      </c>
      <c r="I86" s="37">
        <v>0</v>
      </c>
      <c r="J86" s="43">
        <v>12901</v>
      </c>
      <c r="K86" s="43">
        <v>105778</v>
      </c>
      <c r="L86" s="43">
        <v>12370</v>
      </c>
      <c r="M86" s="43">
        <v>18501</v>
      </c>
      <c r="N86" s="43">
        <v>593502</v>
      </c>
      <c r="O86" s="43">
        <v>193942</v>
      </c>
      <c r="P86" s="43">
        <v>21620</v>
      </c>
      <c r="Q86" s="43">
        <v>609217</v>
      </c>
      <c r="R86" s="43">
        <v>3757</v>
      </c>
      <c r="S86" s="43">
        <v>162846</v>
      </c>
      <c r="T86" s="37">
        <v>0</v>
      </c>
      <c r="V86" s="43">
        <v>19923</v>
      </c>
      <c r="W86" s="43">
        <v>308809</v>
      </c>
      <c r="X86" s="37">
        <v>0</v>
      </c>
      <c r="Y86" s="37">
        <v>0</v>
      </c>
      <c r="Z86" s="37">
        <v>0</v>
      </c>
      <c r="AA86" s="43">
        <v>37997</v>
      </c>
      <c r="AB86" s="43">
        <v>45780</v>
      </c>
      <c r="AC86" s="37">
        <v>0</v>
      </c>
      <c r="AD86" s="43">
        <v>298810</v>
      </c>
      <c r="AE86" s="37">
        <v>0</v>
      </c>
      <c r="AF86" s="43">
        <v>69861</v>
      </c>
      <c r="AG86" s="43">
        <v>19371</v>
      </c>
      <c r="AH86" s="43">
        <v>45052</v>
      </c>
      <c r="AI86" s="43">
        <v>1735598</v>
      </c>
      <c r="AJ86" s="43">
        <v>155553</v>
      </c>
      <c r="AK86" s="43">
        <v>18799</v>
      </c>
      <c r="AL86" s="37">
        <v>0</v>
      </c>
      <c r="AM86" s="44">
        <v>25792</v>
      </c>
      <c r="AN86" s="43">
        <v>2002326</v>
      </c>
      <c r="AP86" s="37">
        <v>0</v>
      </c>
      <c r="AQ86" s="43">
        <v>268272</v>
      </c>
      <c r="AR86" s="43">
        <v>379979</v>
      </c>
      <c r="AS86" s="43">
        <v>332215</v>
      </c>
      <c r="AT86" s="43">
        <v>200828</v>
      </c>
      <c r="AU86" s="43">
        <v>310885</v>
      </c>
      <c r="AV86" s="43">
        <v>197745</v>
      </c>
      <c r="AW86" s="43">
        <v>28431</v>
      </c>
      <c r="AX86" s="43">
        <v>36555</v>
      </c>
      <c r="AY86" s="43">
        <v>645920</v>
      </c>
      <c r="AZ86" s="43">
        <v>73066</v>
      </c>
      <c r="BA86" s="37">
        <v>0</v>
      </c>
      <c r="BB86" s="43">
        <v>20250</v>
      </c>
      <c r="BC86" s="43">
        <v>29611</v>
      </c>
      <c r="BD86" s="43">
        <v>75294</v>
      </c>
      <c r="BE86" s="43">
        <v>942074</v>
      </c>
      <c r="BF86" s="43">
        <v>270408</v>
      </c>
      <c r="BG86" s="43">
        <v>362915</v>
      </c>
      <c r="BH86" s="43">
        <v>2191944</v>
      </c>
      <c r="BI86" s="37">
        <v>0</v>
      </c>
      <c r="BJ86" s="43">
        <v>1256</v>
      </c>
      <c r="BK86" s="43">
        <v>90730</v>
      </c>
      <c r="BL86" s="37">
        <v>0</v>
      </c>
      <c r="BM86" s="37">
        <v>0</v>
      </c>
      <c r="BN86" s="43">
        <v>16661</v>
      </c>
      <c r="BO86" s="43">
        <v>40018</v>
      </c>
      <c r="BP86" s="43">
        <v>1762</v>
      </c>
      <c r="BQ86" s="43">
        <v>233797</v>
      </c>
      <c r="BR86" s="43">
        <v>19081</v>
      </c>
      <c r="BS86" s="43">
        <v>138559</v>
      </c>
      <c r="BT86" s="43">
        <v>37579</v>
      </c>
      <c r="BU86" s="37">
        <v>0</v>
      </c>
      <c r="BV86" s="43">
        <v>727489</v>
      </c>
      <c r="BW86" s="43">
        <v>3191</v>
      </c>
      <c r="BX86" s="43">
        <v>561221</v>
      </c>
      <c r="BY86" s="43">
        <v>2680</v>
      </c>
      <c r="BZ86" s="37">
        <v>300</v>
      </c>
      <c r="CA86" s="44">
        <f t="shared" si="15"/>
        <v>16641626</v>
      </c>
    </row>
    <row r="87" spans="1:79" x14ac:dyDescent="0.25">
      <c r="A87" s="64" t="s">
        <v>730</v>
      </c>
      <c r="B87" s="52" t="s">
        <v>731</v>
      </c>
      <c r="C87" s="43">
        <v>410447</v>
      </c>
      <c r="D87" s="43">
        <v>1574671</v>
      </c>
      <c r="E87" s="43">
        <v>459980</v>
      </c>
      <c r="F87" s="43">
        <v>936650</v>
      </c>
      <c r="G87" s="43">
        <v>435832</v>
      </c>
      <c r="H87" s="43">
        <v>395930</v>
      </c>
      <c r="I87" s="43">
        <v>442267</v>
      </c>
      <c r="J87" s="43">
        <v>3063068</v>
      </c>
      <c r="K87" s="43">
        <v>448591</v>
      </c>
      <c r="L87" s="43">
        <v>1053940</v>
      </c>
      <c r="M87" s="43">
        <v>553358</v>
      </c>
      <c r="N87" s="43">
        <v>2877854</v>
      </c>
      <c r="O87" s="43">
        <v>5739729</v>
      </c>
      <c r="P87" s="43">
        <v>490090</v>
      </c>
      <c r="Q87" s="43">
        <v>7553215</v>
      </c>
      <c r="R87" s="43">
        <v>506622</v>
      </c>
      <c r="S87" s="43">
        <v>719306</v>
      </c>
      <c r="T87" s="43">
        <v>663647</v>
      </c>
      <c r="V87" s="43">
        <v>552746</v>
      </c>
      <c r="W87" s="43">
        <v>1376491</v>
      </c>
      <c r="X87" s="43">
        <v>219449</v>
      </c>
      <c r="Y87" s="43">
        <v>603892</v>
      </c>
      <c r="Z87" s="43">
        <v>1458595</v>
      </c>
      <c r="AA87" s="43">
        <v>663342</v>
      </c>
      <c r="AB87" s="43">
        <v>431971</v>
      </c>
      <c r="AC87" s="43">
        <v>773095</v>
      </c>
      <c r="AD87" s="43">
        <v>3629709</v>
      </c>
      <c r="AE87" s="43">
        <v>193803</v>
      </c>
      <c r="AF87" s="43">
        <v>488083</v>
      </c>
      <c r="AG87" s="43">
        <v>307539</v>
      </c>
      <c r="AH87" s="43">
        <v>3733888</v>
      </c>
      <c r="AI87" s="43">
        <v>7133602</v>
      </c>
      <c r="AJ87" s="43">
        <v>1187349</v>
      </c>
      <c r="AK87" s="43">
        <v>233505</v>
      </c>
      <c r="AL87" s="43">
        <v>418923</v>
      </c>
      <c r="AM87" s="44">
        <v>688027</v>
      </c>
      <c r="AN87" s="43">
        <v>31397877</v>
      </c>
      <c r="AP87" s="43">
        <v>1263191</v>
      </c>
      <c r="AQ87" s="43">
        <v>1460908</v>
      </c>
      <c r="AR87" s="43">
        <v>667356</v>
      </c>
      <c r="AS87" s="43">
        <v>440604</v>
      </c>
      <c r="AT87" s="43">
        <v>373118</v>
      </c>
      <c r="AU87" s="43">
        <v>4043057</v>
      </c>
      <c r="AV87" s="43">
        <v>866145</v>
      </c>
      <c r="AW87" s="43">
        <v>377382</v>
      </c>
      <c r="AX87" s="43">
        <v>390342</v>
      </c>
      <c r="AY87" s="43">
        <v>1559480</v>
      </c>
      <c r="AZ87" s="43">
        <v>193708</v>
      </c>
      <c r="BA87" s="43">
        <v>743025</v>
      </c>
      <c r="BB87" s="43">
        <v>950048</v>
      </c>
      <c r="BC87" s="43">
        <v>739697</v>
      </c>
      <c r="BD87" s="43">
        <v>1614938</v>
      </c>
      <c r="BE87" s="43">
        <v>1569728</v>
      </c>
      <c r="BF87" s="43">
        <v>767252</v>
      </c>
      <c r="BG87" s="43">
        <v>4136682</v>
      </c>
      <c r="BH87" s="43">
        <v>4019470</v>
      </c>
      <c r="BI87" s="43">
        <v>607214</v>
      </c>
      <c r="BJ87" s="43">
        <v>846291</v>
      </c>
      <c r="BK87" s="43">
        <v>914802</v>
      </c>
      <c r="BL87" s="43">
        <v>469515</v>
      </c>
      <c r="BM87" s="43">
        <v>524124</v>
      </c>
      <c r="BN87" s="43">
        <v>1023931</v>
      </c>
      <c r="BO87" s="43">
        <v>1359453</v>
      </c>
      <c r="BP87" s="43">
        <v>1115071</v>
      </c>
      <c r="BQ87" s="43">
        <v>1224298</v>
      </c>
      <c r="BR87" s="43">
        <v>878600</v>
      </c>
      <c r="BS87" s="43">
        <v>705958</v>
      </c>
      <c r="BT87" s="43">
        <v>741963</v>
      </c>
      <c r="BU87" s="43">
        <v>681079</v>
      </c>
      <c r="BV87" s="43">
        <v>1601784</v>
      </c>
      <c r="BW87" s="43">
        <v>2149565</v>
      </c>
      <c r="BX87" s="43">
        <v>7256390</v>
      </c>
      <c r="BY87" s="43">
        <v>4128500</v>
      </c>
      <c r="BZ87" s="43">
        <v>765057</v>
      </c>
      <c r="CA87" s="44">
        <f t="shared" si="15"/>
        <v>136986809</v>
      </c>
    </row>
    <row r="88" spans="1:79" x14ac:dyDescent="0.25">
      <c r="A88" s="37" t="s">
        <v>732</v>
      </c>
      <c r="B88" s="37" t="s">
        <v>733</v>
      </c>
      <c r="C88" s="43">
        <v>9068086</v>
      </c>
      <c r="D88" s="43">
        <v>65290100</v>
      </c>
      <c r="E88" s="43">
        <v>714546</v>
      </c>
      <c r="F88" s="43">
        <v>12021359</v>
      </c>
      <c r="G88" s="43">
        <v>1942167</v>
      </c>
      <c r="H88" s="43">
        <v>5187653</v>
      </c>
      <c r="I88" s="43">
        <v>1511153</v>
      </c>
      <c r="J88" s="43">
        <v>5538737</v>
      </c>
      <c r="K88" s="43">
        <v>3751176</v>
      </c>
      <c r="L88" s="43">
        <v>35087</v>
      </c>
      <c r="M88" s="43">
        <v>431253</v>
      </c>
      <c r="N88" s="43">
        <v>126534428</v>
      </c>
      <c r="O88" s="43">
        <v>67851739</v>
      </c>
      <c r="P88" s="43">
        <v>538029</v>
      </c>
      <c r="Q88" s="43">
        <v>155366942</v>
      </c>
      <c r="R88" s="43">
        <v>8254234</v>
      </c>
      <c r="S88" s="43">
        <v>1696291</v>
      </c>
      <c r="T88" s="43">
        <v>714749</v>
      </c>
      <c r="V88" s="43">
        <v>4337111</v>
      </c>
      <c r="W88" s="43">
        <v>2949967</v>
      </c>
      <c r="X88" s="43">
        <v>6985033</v>
      </c>
      <c r="Y88" s="43">
        <v>19496629</v>
      </c>
      <c r="Z88" s="43">
        <v>11275912</v>
      </c>
      <c r="AA88" s="43">
        <v>24824059</v>
      </c>
      <c r="AB88" s="43">
        <v>2098632</v>
      </c>
      <c r="AC88" s="43">
        <v>3381857</v>
      </c>
      <c r="AD88" s="43">
        <v>14395179</v>
      </c>
      <c r="AE88" s="43">
        <v>3313753</v>
      </c>
      <c r="AF88" s="43">
        <v>2039002</v>
      </c>
      <c r="AG88" s="43">
        <v>632960</v>
      </c>
      <c r="AH88" s="43">
        <v>20083406</v>
      </c>
      <c r="AI88" s="43">
        <v>63073220</v>
      </c>
      <c r="AJ88" s="43">
        <v>4990106</v>
      </c>
      <c r="AK88" s="43">
        <v>3929994</v>
      </c>
      <c r="AL88" s="37">
        <v>0</v>
      </c>
      <c r="AM88" s="44">
        <v>935004</v>
      </c>
      <c r="AN88" s="43">
        <v>59768955</v>
      </c>
      <c r="AP88" s="43">
        <v>695695</v>
      </c>
      <c r="AQ88" s="43">
        <v>12780093</v>
      </c>
      <c r="AR88" s="43">
        <v>3937993</v>
      </c>
      <c r="AS88" s="43">
        <v>2919892</v>
      </c>
      <c r="AT88" s="43">
        <v>208620</v>
      </c>
      <c r="AU88" s="43">
        <v>50311533</v>
      </c>
      <c r="AV88" s="43">
        <v>30818039</v>
      </c>
      <c r="AW88" s="43">
        <v>27786807</v>
      </c>
      <c r="AX88" s="43">
        <v>360098</v>
      </c>
      <c r="AY88" s="43">
        <v>4437122</v>
      </c>
      <c r="AZ88" s="43">
        <v>182114</v>
      </c>
      <c r="BA88" s="43">
        <v>818253</v>
      </c>
      <c r="BB88" s="43">
        <v>7103575</v>
      </c>
      <c r="BC88" s="43">
        <v>6249855</v>
      </c>
      <c r="BD88" s="43">
        <v>32232606</v>
      </c>
      <c r="BE88" s="43">
        <v>39255866</v>
      </c>
      <c r="BF88" s="43">
        <v>16907673</v>
      </c>
      <c r="BG88" s="43">
        <v>51240572</v>
      </c>
      <c r="BH88" s="43">
        <v>79759602</v>
      </c>
      <c r="BI88" s="43">
        <v>4987367</v>
      </c>
      <c r="BJ88" s="43">
        <v>8880032</v>
      </c>
      <c r="BK88" s="43">
        <v>11630475</v>
      </c>
      <c r="BL88" s="43">
        <v>11659184</v>
      </c>
      <c r="BM88" s="43">
        <v>3106064</v>
      </c>
      <c r="BN88" s="43">
        <v>131943334</v>
      </c>
      <c r="BO88" s="43">
        <v>20942014</v>
      </c>
      <c r="BP88" s="43">
        <v>16574417</v>
      </c>
      <c r="BQ88" s="43">
        <v>13391571</v>
      </c>
      <c r="BR88" s="43">
        <v>815019</v>
      </c>
      <c r="BS88" s="43">
        <v>3948597</v>
      </c>
      <c r="BT88" s="43">
        <v>1878194</v>
      </c>
      <c r="BU88" s="43">
        <v>10654516</v>
      </c>
      <c r="BV88" s="43">
        <v>10518382</v>
      </c>
      <c r="BW88" s="43">
        <v>27092101</v>
      </c>
      <c r="BX88" s="43">
        <v>17045186</v>
      </c>
      <c r="BY88" s="43">
        <v>13664431</v>
      </c>
      <c r="BZ88" s="43">
        <v>330574</v>
      </c>
      <c r="CA88" s="44">
        <f t="shared" si="15"/>
        <v>1392025974</v>
      </c>
    </row>
    <row r="89" spans="1:79" x14ac:dyDescent="0.25">
      <c r="A89" s="64" t="s">
        <v>734</v>
      </c>
      <c r="B89" s="52" t="s">
        <v>735</v>
      </c>
      <c r="C89" s="43">
        <v>5535004</v>
      </c>
      <c r="D89" s="43">
        <v>22132967</v>
      </c>
      <c r="E89" s="43">
        <v>1816449</v>
      </c>
      <c r="F89" s="43">
        <v>9528018</v>
      </c>
      <c r="G89" s="43">
        <v>4266947</v>
      </c>
      <c r="H89" s="43">
        <v>2801508</v>
      </c>
      <c r="I89" s="43">
        <v>4656739</v>
      </c>
      <c r="J89" s="43">
        <v>25636531</v>
      </c>
      <c r="K89" s="43">
        <v>3889870</v>
      </c>
      <c r="L89" s="43">
        <v>2619651</v>
      </c>
      <c r="M89" s="43">
        <v>1791290</v>
      </c>
      <c r="N89" s="43">
        <v>28938221</v>
      </c>
      <c r="O89" s="43">
        <v>54206467</v>
      </c>
      <c r="P89" s="43">
        <v>2281338</v>
      </c>
      <c r="Q89" s="43">
        <v>94507306</v>
      </c>
      <c r="R89" s="43">
        <v>9884231</v>
      </c>
      <c r="S89" s="43">
        <v>8917716</v>
      </c>
      <c r="T89" s="43">
        <v>11456836</v>
      </c>
      <c r="V89" s="43">
        <v>7249432</v>
      </c>
      <c r="W89" s="43">
        <v>15420684</v>
      </c>
      <c r="X89" s="43">
        <v>1219752</v>
      </c>
      <c r="Y89" s="43">
        <v>5150438</v>
      </c>
      <c r="Z89" s="43">
        <v>30611349</v>
      </c>
      <c r="AA89" s="43">
        <v>4575549</v>
      </c>
      <c r="AB89" s="43">
        <v>5779696</v>
      </c>
      <c r="AC89" s="43">
        <v>5023042</v>
      </c>
      <c r="AD89" s="43">
        <v>15032303</v>
      </c>
      <c r="AE89" s="43">
        <v>1583017</v>
      </c>
      <c r="AF89" s="43">
        <v>3852775</v>
      </c>
      <c r="AG89" s="43">
        <v>1702777</v>
      </c>
      <c r="AH89" s="43">
        <v>12849472</v>
      </c>
      <c r="AI89" s="43">
        <v>78904587</v>
      </c>
      <c r="AJ89" s="43">
        <v>11312144</v>
      </c>
      <c r="AK89" s="43">
        <v>1527451</v>
      </c>
      <c r="AL89" s="43">
        <v>3235171</v>
      </c>
      <c r="AM89" s="44">
        <v>3579040</v>
      </c>
      <c r="AN89" s="43">
        <v>68066413</v>
      </c>
      <c r="AP89" s="43">
        <v>25473447</v>
      </c>
      <c r="AQ89" s="43">
        <v>20726879</v>
      </c>
      <c r="AR89" s="43">
        <v>5880334</v>
      </c>
      <c r="AS89" s="43">
        <v>4224418</v>
      </c>
      <c r="AT89" s="43">
        <v>2702141</v>
      </c>
      <c r="AU89" s="43">
        <v>30967991</v>
      </c>
      <c r="AV89" s="43">
        <v>12107819</v>
      </c>
      <c r="AW89" s="43">
        <v>4093608</v>
      </c>
      <c r="AX89" s="43">
        <v>8635953</v>
      </c>
      <c r="AY89" s="43">
        <v>28571405</v>
      </c>
      <c r="AZ89" s="43">
        <v>1625576</v>
      </c>
      <c r="BA89" s="43">
        <v>8851436</v>
      </c>
      <c r="BB89" s="43">
        <v>6066881</v>
      </c>
      <c r="BC89" s="43">
        <v>10494503</v>
      </c>
      <c r="BD89" s="43">
        <v>15095674</v>
      </c>
      <c r="BE89" s="43">
        <v>19780043</v>
      </c>
      <c r="BF89" s="43">
        <v>15078544</v>
      </c>
      <c r="BG89" s="43">
        <v>33719456</v>
      </c>
      <c r="BH89" s="43">
        <v>35999964</v>
      </c>
      <c r="BI89" s="43">
        <v>2716595</v>
      </c>
      <c r="BJ89" s="43">
        <v>6638950</v>
      </c>
      <c r="BK89" s="43">
        <v>11865807</v>
      </c>
      <c r="BL89" s="43">
        <v>4293023</v>
      </c>
      <c r="BM89" s="43">
        <v>2438268</v>
      </c>
      <c r="BN89" s="43">
        <v>10086174</v>
      </c>
      <c r="BO89" s="43">
        <v>16199373</v>
      </c>
      <c r="BP89" s="43">
        <v>11987886</v>
      </c>
      <c r="BQ89" s="43">
        <v>19181528</v>
      </c>
      <c r="BR89" s="43">
        <v>3524147</v>
      </c>
      <c r="BS89" s="43">
        <v>16454563</v>
      </c>
      <c r="BT89" s="43">
        <v>7936335</v>
      </c>
      <c r="BU89" s="43">
        <v>13030064</v>
      </c>
      <c r="BV89" s="43">
        <v>21462247</v>
      </c>
      <c r="BW89" s="43">
        <v>17195056</v>
      </c>
      <c r="BX89" s="43">
        <v>18553084</v>
      </c>
      <c r="BY89" s="43">
        <v>9617032</v>
      </c>
      <c r="BZ89" s="43">
        <v>1913661</v>
      </c>
      <c r="CA89" s="44">
        <f t="shared" si="15"/>
        <v>1056732046</v>
      </c>
    </row>
    <row r="90" spans="1:79" x14ac:dyDescent="0.25">
      <c r="A90" s="64" t="s">
        <v>736</v>
      </c>
      <c r="B90" s="52" t="s">
        <v>737</v>
      </c>
      <c r="C90" s="43">
        <v>829207</v>
      </c>
      <c r="D90" s="43">
        <v>5495651</v>
      </c>
      <c r="E90" s="43">
        <v>463659</v>
      </c>
      <c r="F90" s="43">
        <v>2917889</v>
      </c>
      <c r="G90" s="43">
        <v>1149119</v>
      </c>
      <c r="H90" s="43">
        <v>1278445</v>
      </c>
      <c r="I90" s="43">
        <v>1164983</v>
      </c>
      <c r="J90" s="43">
        <v>4944848</v>
      </c>
      <c r="K90" s="43">
        <v>1261793</v>
      </c>
      <c r="L90" s="43">
        <v>1008566</v>
      </c>
      <c r="M90" s="43">
        <v>553488</v>
      </c>
      <c r="N90" s="43">
        <v>7977009</v>
      </c>
      <c r="O90" s="43">
        <v>16543755</v>
      </c>
      <c r="P90" s="43">
        <v>854115</v>
      </c>
      <c r="Q90" s="43">
        <v>29272999</v>
      </c>
      <c r="R90" s="43">
        <v>2639114</v>
      </c>
      <c r="S90" s="43">
        <v>1709878</v>
      </c>
      <c r="T90" s="43">
        <v>2177126</v>
      </c>
      <c r="V90" s="43">
        <v>3165920</v>
      </c>
      <c r="W90" s="43">
        <v>3624992</v>
      </c>
      <c r="X90" s="43">
        <v>314373</v>
      </c>
      <c r="Y90" s="43">
        <v>1118924</v>
      </c>
      <c r="Z90" s="43">
        <v>10383679</v>
      </c>
      <c r="AA90" s="43">
        <v>1418898</v>
      </c>
      <c r="AB90" s="43">
        <v>1522753</v>
      </c>
      <c r="AC90" s="43">
        <v>1661454</v>
      </c>
      <c r="AD90" s="43">
        <v>6013289</v>
      </c>
      <c r="AE90" s="43">
        <v>303006</v>
      </c>
      <c r="AF90" s="43">
        <v>656678</v>
      </c>
      <c r="AG90" s="43">
        <v>366276</v>
      </c>
      <c r="AH90" s="43">
        <v>3114406</v>
      </c>
      <c r="AI90" s="43">
        <v>31539329</v>
      </c>
      <c r="AJ90" s="43">
        <v>2958586</v>
      </c>
      <c r="AK90" s="43">
        <v>180035</v>
      </c>
      <c r="AL90" s="43">
        <v>274838</v>
      </c>
      <c r="AM90" s="44">
        <v>961816</v>
      </c>
      <c r="AN90" s="43">
        <v>22402861</v>
      </c>
      <c r="AP90" s="43">
        <v>3580335</v>
      </c>
      <c r="AQ90" s="43">
        <v>4072549</v>
      </c>
      <c r="AR90" s="43">
        <v>2976741</v>
      </c>
      <c r="AS90" s="43">
        <v>461962</v>
      </c>
      <c r="AT90" s="43">
        <v>1051486</v>
      </c>
      <c r="AU90" s="43">
        <v>10777732</v>
      </c>
      <c r="AV90" s="43">
        <v>3843410</v>
      </c>
      <c r="AW90" s="43">
        <v>918274</v>
      </c>
      <c r="AX90" s="43">
        <v>1973081</v>
      </c>
      <c r="AY90" s="43">
        <v>6815528</v>
      </c>
      <c r="AZ90" s="43">
        <v>481838</v>
      </c>
      <c r="BA90" s="43">
        <v>2005006</v>
      </c>
      <c r="BB90" s="43">
        <v>1725552</v>
      </c>
      <c r="BC90" s="43">
        <v>2220751</v>
      </c>
      <c r="BD90" s="43">
        <v>4225593</v>
      </c>
      <c r="BE90" s="43">
        <v>6265114</v>
      </c>
      <c r="BF90" s="43">
        <v>4987632</v>
      </c>
      <c r="BG90" s="43">
        <v>13265549</v>
      </c>
      <c r="BH90" s="43">
        <v>12263285</v>
      </c>
      <c r="BI90" s="43">
        <v>844547</v>
      </c>
      <c r="BJ90" s="43">
        <v>1607141</v>
      </c>
      <c r="BK90" s="43">
        <v>3443694</v>
      </c>
      <c r="BL90" s="43">
        <v>2407412</v>
      </c>
      <c r="BM90" s="43">
        <v>866692</v>
      </c>
      <c r="BN90" s="43">
        <v>3081563</v>
      </c>
      <c r="BO90" s="43">
        <v>5367127</v>
      </c>
      <c r="BP90" s="43">
        <v>4323021</v>
      </c>
      <c r="BQ90" s="43">
        <v>4382155</v>
      </c>
      <c r="BR90" s="43">
        <v>1113834</v>
      </c>
      <c r="BS90" s="43">
        <v>1440826</v>
      </c>
      <c r="BT90" s="43">
        <v>2046040</v>
      </c>
      <c r="BU90" s="43">
        <v>3594114</v>
      </c>
      <c r="BV90" s="43">
        <v>8195100</v>
      </c>
      <c r="BW90" s="43">
        <v>8046061</v>
      </c>
      <c r="BX90" s="43">
        <v>1516536</v>
      </c>
      <c r="BY90" s="43">
        <v>96396</v>
      </c>
      <c r="BZ90" s="43">
        <v>253191</v>
      </c>
      <c r="CA90" s="44">
        <f t="shared" si="15"/>
        <v>310760625</v>
      </c>
    </row>
    <row r="91" spans="1:79" x14ac:dyDescent="0.25">
      <c r="A91" s="64" t="s">
        <v>738</v>
      </c>
      <c r="B91" s="52" t="s">
        <v>135</v>
      </c>
      <c r="C91" s="43">
        <v>2774567</v>
      </c>
      <c r="D91" s="43">
        <v>12499211</v>
      </c>
      <c r="E91" s="43">
        <v>1210693</v>
      </c>
      <c r="F91" s="43">
        <v>6509011</v>
      </c>
      <c r="G91" s="43">
        <v>2467983</v>
      </c>
      <c r="H91" s="43">
        <v>2077088</v>
      </c>
      <c r="I91" s="43">
        <v>1667604</v>
      </c>
      <c r="J91" s="43">
        <v>10966661</v>
      </c>
      <c r="K91" s="43">
        <v>1778101</v>
      </c>
      <c r="L91" s="43">
        <v>1849547</v>
      </c>
      <c r="M91" s="43">
        <v>1446216</v>
      </c>
      <c r="N91" s="43">
        <v>11291084</v>
      </c>
      <c r="O91" s="43">
        <v>22018675</v>
      </c>
      <c r="P91" s="43">
        <v>1615046</v>
      </c>
      <c r="Q91" s="43">
        <v>33324029</v>
      </c>
      <c r="R91" s="43">
        <v>7496259</v>
      </c>
      <c r="S91" s="43">
        <v>3395344</v>
      </c>
      <c r="T91" s="43">
        <v>6834875</v>
      </c>
      <c r="V91" s="43">
        <v>4714973</v>
      </c>
      <c r="W91" s="43">
        <v>8493088</v>
      </c>
      <c r="X91" s="43">
        <v>1269277</v>
      </c>
      <c r="Y91" s="43">
        <v>3955600</v>
      </c>
      <c r="Z91" s="43">
        <v>11496701</v>
      </c>
      <c r="AA91" s="43">
        <v>2072515</v>
      </c>
      <c r="AB91" s="43">
        <v>2919411</v>
      </c>
      <c r="AC91" s="43">
        <v>2969041</v>
      </c>
      <c r="AD91" s="43">
        <v>11360372</v>
      </c>
      <c r="AE91" s="43">
        <v>994768</v>
      </c>
      <c r="AF91" s="43">
        <v>2630699</v>
      </c>
      <c r="AG91" s="43">
        <v>991470</v>
      </c>
      <c r="AH91" s="43">
        <v>6098517</v>
      </c>
      <c r="AI91" s="43">
        <v>54393987</v>
      </c>
      <c r="AJ91" s="43">
        <v>8123208</v>
      </c>
      <c r="AK91" s="43">
        <v>893147</v>
      </c>
      <c r="AL91" s="43">
        <v>1183288</v>
      </c>
      <c r="AM91" s="44">
        <v>2625597</v>
      </c>
      <c r="AN91" s="43">
        <v>27726197</v>
      </c>
      <c r="AP91" s="43">
        <v>7217332</v>
      </c>
      <c r="AQ91" s="43">
        <v>7839768</v>
      </c>
      <c r="AR91" s="43">
        <v>5054892</v>
      </c>
      <c r="AS91" s="43">
        <v>3429178</v>
      </c>
      <c r="AT91" s="43">
        <v>1324475</v>
      </c>
      <c r="AU91" s="43">
        <v>14723062</v>
      </c>
      <c r="AV91" s="43">
        <v>4960383</v>
      </c>
      <c r="AW91" s="43">
        <v>2304412</v>
      </c>
      <c r="AX91" s="43">
        <v>3349970</v>
      </c>
      <c r="AY91" s="43">
        <v>11715274</v>
      </c>
      <c r="AZ91" s="43">
        <v>623426</v>
      </c>
      <c r="BA91" s="43">
        <v>3104171</v>
      </c>
      <c r="BB91" s="43">
        <v>3475510</v>
      </c>
      <c r="BC91" s="43">
        <v>5548242</v>
      </c>
      <c r="BD91" s="43">
        <v>4984400</v>
      </c>
      <c r="BE91" s="43">
        <v>8815090</v>
      </c>
      <c r="BF91" s="43">
        <v>10062677</v>
      </c>
      <c r="BG91" s="43">
        <v>20848081</v>
      </c>
      <c r="BH91" s="43">
        <v>10937724</v>
      </c>
      <c r="BI91" s="43">
        <v>1751499</v>
      </c>
      <c r="BJ91" s="43">
        <v>2854169</v>
      </c>
      <c r="BK91" s="43">
        <v>5727786</v>
      </c>
      <c r="BL91" s="43">
        <v>1694669</v>
      </c>
      <c r="BM91" s="43">
        <v>2093650</v>
      </c>
      <c r="BN91" s="43">
        <v>4883142</v>
      </c>
      <c r="BO91" s="43">
        <v>9461800</v>
      </c>
      <c r="BP91" s="43">
        <v>5199333</v>
      </c>
      <c r="BQ91" s="43">
        <v>9597872</v>
      </c>
      <c r="BR91" s="43">
        <v>2658627</v>
      </c>
      <c r="BS91" s="43">
        <v>3097946</v>
      </c>
      <c r="BT91" s="43">
        <v>3681547</v>
      </c>
      <c r="BU91" s="43">
        <v>4021971</v>
      </c>
      <c r="BV91" s="43">
        <v>8537043</v>
      </c>
      <c r="BW91" s="43">
        <v>8884256</v>
      </c>
      <c r="BX91" s="43">
        <v>6645672</v>
      </c>
      <c r="BY91" s="43">
        <v>3711466</v>
      </c>
      <c r="BZ91" s="43">
        <v>323930</v>
      </c>
      <c r="CA91" s="44">
        <f t="shared" si="15"/>
        <v>501278295</v>
      </c>
    </row>
    <row r="92" spans="1:79" x14ac:dyDescent="0.25">
      <c r="A92" s="64" t="s">
        <v>739</v>
      </c>
      <c r="B92" s="52" t="s">
        <v>740</v>
      </c>
      <c r="C92" s="37">
        <v>0</v>
      </c>
      <c r="D92" s="43">
        <v>567435</v>
      </c>
      <c r="E92" s="37">
        <v>0</v>
      </c>
      <c r="F92" s="37">
        <v>0</v>
      </c>
      <c r="G92" s="37">
        <v>0</v>
      </c>
      <c r="H92" s="37">
        <v>0</v>
      </c>
      <c r="I92" s="43">
        <v>89932</v>
      </c>
      <c r="J92" s="43">
        <v>409329</v>
      </c>
      <c r="K92" s="37">
        <v>0</v>
      </c>
      <c r="L92" s="37">
        <v>0</v>
      </c>
      <c r="M92" s="37">
        <v>0</v>
      </c>
      <c r="N92" s="43">
        <v>6281</v>
      </c>
      <c r="O92" s="43">
        <v>153882</v>
      </c>
      <c r="P92" s="43">
        <v>125269</v>
      </c>
      <c r="Q92" s="43">
        <v>4401652</v>
      </c>
      <c r="R92" s="43">
        <v>538201</v>
      </c>
      <c r="S92" s="43">
        <v>373171</v>
      </c>
      <c r="T92" s="37">
        <v>0</v>
      </c>
      <c r="V92" s="37">
        <v>0</v>
      </c>
      <c r="W92" s="43">
        <v>445327</v>
      </c>
      <c r="X92" s="43">
        <v>19863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43">
        <v>23000</v>
      </c>
      <c r="AF92" s="37">
        <v>0</v>
      </c>
      <c r="AG92" s="37">
        <v>0</v>
      </c>
      <c r="AH92" s="37">
        <v>0</v>
      </c>
      <c r="AI92" s="43">
        <v>1747024</v>
      </c>
      <c r="AJ92" s="43">
        <v>201426</v>
      </c>
      <c r="AK92" s="37">
        <v>0</v>
      </c>
      <c r="AL92" s="43">
        <v>28671</v>
      </c>
      <c r="AM92" s="44">
        <v>106131</v>
      </c>
      <c r="AN92" s="43">
        <v>1014725</v>
      </c>
      <c r="AP92" s="43">
        <v>132633</v>
      </c>
      <c r="AQ92" s="43">
        <v>537865</v>
      </c>
      <c r="AR92" s="43">
        <v>59398</v>
      </c>
      <c r="AS92" s="37">
        <v>0</v>
      </c>
      <c r="AT92" s="37">
        <v>0</v>
      </c>
      <c r="AU92" s="37">
        <v>0</v>
      </c>
      <c r="AV92" s="43">
        <v>362677</v>
      </c>
      <c r="AW92" s="37">
        <v>0</v>
      </c>
      <c r="AX92" s="37">
        <v>0</v>
      </c>
      <c r="AY92" s="43">
        <v>986205</v>
      </c>
      <c r="AZ92" s="37">
        <v>0</v>
      </c>
      <c r="BA92" s="43">
        <v>5030</v>
      </c>
      <c r="BB92" s="37">
        <v>789</v>
      </c>
      <c r="BC92" s="43">
        <v>1382185</v>
      </c>
      <c r="BD92" s="43">
        <v>229068</v>
      </c>
      <c r="BE92" s="43">
        <v>62454</v>
      </c>
      <c r="BF92" s="43">
        <v>184893</v>
      </c>
      <c r="BG92" s="43">
        <v>1633039</v>
      </c>
      <c r="BH92" s="37">
        <v>0</v>
      </c>
      <c r="BI92" s="37">
        <v>0</v>
      </c>
      <c r="BJ92" s="43">
        <v>306630</v>
      </c>
      <c r="BK92" s="37">
        <v>0</v>
      </c>
      <c r="BL92" s="43">
        <v>121715</v>
      </c>
      <c r="BM92" s="37">
        <v>0</v>
      </c>
      <c r="BN92" s="37">
        <v>0</v>
      </c>
      <c r="BO92" s="43">
        <v>45064</v>
      </c>
      <c r="BP92" s="43">
        <v>39152</v>
      </c>
      <c r="BQ92" s="43">
        <v>517388</v>
      </c>
      <c r="BR92" s="43">
        <v>525030</v>
      </c>
      <c r="BS92" s="37">
        <v>0</v>
      </c>
      <c r="BT92" s="37">
        <v>0</v>
      </c>
      <c r="BU92" s="37">
        <v>0</v>
      </c>
      <c r="BV92" s="43">
        <v>607325</v>
      </c>
      <c r="BW92" s="43">
        <v>59526</v>
      </c>
      <c r="BX92" s="43">
        <v>11561</v>
      </c>
      <c r="BY92" s="37">
        <v>0</v>
      </c>
      <c r="BZ92" s="37">
        <v>0</v>
      </c>
      <c r="CA92" s="44">
        <f t="shared" si="15"/>
        <v>18060946</v>
      </c>
    </row>
    <row r="93" spans="1:79" x14ac:dyDescent="0.25">
      <c r="A93" s="64" t="s">
        <v>741</v>
      </c>
      <c r="B93" s="52" t="s">
        <v>742</v>
      </c>
      <c r="C93" s="43">
        <v>209641</v>
      </c>
      <c r="D93" s="43">
        <v>2806945</v>
      </c>
      <c r="E93" s="43">
        <v>140827</v>
      </c>
      <c r="F93" s="43">
        <v>1340425</v>
      </c>
      <c r="G93" s="43">
        <v>443058</v>
      </c>
      <c r="H93" s="43">
        <v>448849</v>
      </c>
      <c r="I93" s="43">
        <v>603127</v>
      </c>
      <c r="J93" s="43">
        <v>2618244</v>
      </c>
      <c r="K93" s="43">
        <v>226421</v>
      </c>
      <c r="L93" s="43">
        <v>172538</v>
      </c>
      <c r="M93" s="43">
        <v>124598</v>
      </c>
      <c r="N93" s="43">
        <v>2748458</v>
      </c>
      <c r="O93" s="43">
        <v>2529644</v>
      </c>
      <c r="P93" s="43">
        <v>98993</v>
      </c>
      <c r="Q93" s="43">
        <v>7440334</v>
      </c>
      <c r="R93" s="43">
        <v>1218251</v>
      </c>
      <c r="S93" s="43">
        <v>518148</v>
      </c>
      <c r="T93" s="43">
        <v>953797</v>
      </c>
      <c r="V93" s="43">
        <v>1253595</v>
      </c>
      <c r="W93" s="43">
        <v>1962633</v>
      </c>
      <c r="X93" s="43">
        <v>46713</v>
      </c>
      <c r="Y93" s="43">
        <v>828408</v>
      </c>
      <c r="Z93" s="43">
        <v>6982795</v>
      </c>
      <c r="AA93" s="43">
        <v>930406</v>
      </c>
      <c r="AB93" s="43">
        <v>386173</v>
      </c>
      <c r="AC93" s="43">
        <v>1127065</v>
      </c>
      <c r="AD93" s="43">
        <v>2000982</v>
      </c>
      <c r="AE93" s="43">
        <v>58080</v>
      </c>
      <c r="AF93" s="43">
        <v>296534</v>
      </c>
      <c r="AG93" s="43">
        <v>538686</v>
      </c>
      <c r="AH93" s="43">
        <v>1877246</v>
      </c>
      <c r="AI93" s="43">
        <v>11104552</v>
      </c>
      <c r="AJ93" s="43">
        <v>1138560</v>
      </c>
      <c r="AK93" s="43">
        <v>233334</v>
      </c>
      <c r="AL93" s="37">
        <v>0</v>
      </c>
      <c r="AM93" s="44">
        <v>165869</v>
      </c>
      <c r="AN93" s="43">
        <v>5020542</v>
      </c>
      <c r="AP93" s="43">
        <v>978096</v>
      </c>
      <c r="AQ93" s="43">
        <v>1275925</v>
      </c>
      <c r="AR93" s="43">
        <v>502161</v>
      </c>
      <c r="AS93" s="43">
        <v>290136</v>
      </c>
      <c r="AT93" s="43">
        <v>9223</v>
      </c>
      <c r="AU93" s="43">
        <v>3493946</v>
      </c>
      <c r="AV93" s="43">
        <v>1371211</v>
      </c>
      <c r="AW93" s="43">
        <v>178236</v>
      </c>
      <c r="AX93" s="43">
        <v>304925</v>
      </c>
      <c r="AY93" s="43">
        <v>2933847</v>
      </c>
      <c r="AZ93" s="43">
        <v>69541</v>
      </c>
      <c r="BA93" s="43">
        <v>397387</v>
      </c>
      <c r="BB93" s="43">
        <v>75769</v>
      </c>
      <c r="BC93" s="43">
        <v>512528</v>
      </c>
      <c r="BD93" s="43">
        <v>1030031</v>
      </c>
      <c r="BE93" s="43">
        <v>1316188</v>
      </c>
      <c r="BF93" s="43">
        <v>1740251</v>
      </c>
      <c r="BG93" s="43">
        <v>9003790</v>
      </c>
      <c r="BH93" s="43">
        <v>9032094</v>
      </c>
      <c r="BI93" s="43">
        <v>96187</v>
      </c>
      <c r="BJ93" s="43">
        <v>748870</v>
      </c>
      <c r="BK93" s="43">
        <v>995294</v>
      </c>
      <c r="BL93" s="43">
        <v>411692</v>
      </c>
      <c r="BM93" s="43">
        <v>203237</v>
      </c>
      <c r="BN93" s="43">
        <v>2528305</v>
      </c>
      <c r="BO93" s="43">
        <v>3608349</v>
      </c>
      <c r="BP93" s="43">
        <v>2338186</v>
      </c>
      <c r="BQ93" s="43">
        <v>1170853</v>
      </c>
      <c r="BR93" s="43">
        <v>379503</v>
      </c>
      <c r="BS93" s="43">
        <v>3734</v>
      </c>
      <c r="BT93" s="43">
        <v>521606</v>
      </c>
      <c r="BU93" s="43">
        <v>730298</v>
      </c>
      <c r="BV93" s="43">
        <v>1992649</v>
      </c>
      <c r="BW93" s="43">
        <v>2199255</v>
      </c>
      <c r="BX93" s="43">
        <v>1008460</v>
      </c>
      <c r="BY93" s="43">
        <v>678796</v>
      </c>
      <c r="BZ93" s="43">
        <v>170914</v>
      </c>
      <c r="CA93" s="44">
        <f t="shared" si="15"/>
        <v>114895944</v>
      </c>
    </row>
    <row r="94" spans="1:79" x14ac:dyDescent="0.25">
      <c r="A94" s="63" t="s">
        <v>743</v>
      </c>
      <c r="B94" s="59" t="s">
        <v>744</v>
      </c>
      <c r="C94" s="37">
        <v>0</v>
      </c>
      <c r="D94" s="43">
        <v>108059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43">
        <v>3200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43">
        <v>378616</v>
      </c>
      <c r="AJ94" s="43">
        <v>119429</v>
      </c>
      <c r="AK94" s="37">
        <v>0</v>
      </c>
      <c r="AL94" s="37">
        <v>0</v>
      </c>
      <c r="AM94" s="44">
        <v>0</v>
      </c>
      <c r="AN94" s="43">
        <v>4295</v>
      </c>
      <c r="AP94" s="37">
        <v>0</v>
      </c>
      <c r="AQ94" s="37">
        <v>0</v>
      </c>
      <c r="AR94" s="37">
        <v>0</v>
      </c>
      <c r="AS94" s="37">
        <v>0</v>
      </c>
      <c r="AT94" s="43">
        <v>253272</v>
      </c>
      <c r="AU94" s="37">
        <v>0</v>
      </c>
      <c r="AV94" s="37">
        <v>0</v>
      </c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0</v>
      </c>
      <c r="BD94" s="37">
        <v>0</v>
      </c>
      <c r="BE94" s="37">
        <v>0</v>
      </c>
      <c r="BF94" s="37">
        <v>0</v>
      </c>
      <c r="BG94" s="43">
        <v>144890</v>
      </c>
      <c r="BH94" s="37">
        <v>0</v>
      </c>
      <c r="BI94" s="37">
        <v>0</v>
      </c>
      <c r="BJ94" s="37">
        <v>0</v>
      </c>
      <c r="BK94" s="37">
        <v>0</v>
      </c>
      <c r="BL94" s="37">
        <v>0</v>
      </c>
      <c r="BM94" s="37">
        <v>0</v>
      </c>
      <c r="BN94" s="37">
        <v>0</v>
      </c>
      <c r="BO94" s="37">
        <v>0</v>
      </c>
      <c r="BP94" s="37">
        <v>0</v>
      </c>
      <c r="BQ94" s="37">
        <v>0</v>
      </c>
      <c r="BR94" s="37">
        <v>0</v>
      </c>
      <c r="BS94" s="37">
        <v>0</v>
      </c>
      <c r="BT94" s="37">
        <v>0</v>
      </c>
      <c r="BU94" s="37">
        <v>0</v>
      </c>
      <c r="BV94" s="43">
        <v>106363</v>
      </c>
      <c r="BW94" s="37">
        <v>0</v>
      </c>
      <c r="BX94" s="37">
        <v>0</v>
      </c>
      <c r="BY94" s="37">
        <v>0</v>
      </c>
      <c r="BZ94" s="37">
        <v>0</v>
      </c>
      <c r="CA94" s="44">
        <f t="shared" si="15"/>
        <v>1118124</v>
      </c>
    </row>
    <row r="95" spans="1:79" x14ac:dyDescent="0.25">
      <c r="A95" s="56" t="s">
        <v>745</v>
      </c>
      <c r="B95" s="37" t="s">
        <v>746</v>
      </c>
      <c r="AM95" s="44"/>
      <c r="CA95" s="44">
        <f t="shared" si="15"/>
        <v>0</v>
      </c>
    </row>
    <row r="96" spans="1:79" x14ac:dyDescent="0.25">
      <c r="A96" s="63" t="s">
        <v>747</v>
      </c>
      <c r="B96" s="59" t="s">
        <v>748</v>
      </c>
      <c r="AM96" s="44"/>
      <c r="CA96" s="44">
        <f t="shared" si="15"/>
        <v>0</v>
      </c>
    </row>
    <row r="97" spans="1:79" x14ac:dyDescent="0.25">
      <c r="A97" s="62" t="s">
        <v>749</v>
      </c>
      <c r="B97" s="58" t="s">
        <v>750</v>
      </c>
      <c r="C97" s="37">
        <v>0</v>
      </c>
      <c r="D97" s="43">
        <v>1163207</v>
      </c>
      <c r="E97" s="37">
        <v>0</v>
      </c>
      <c r="F97" s="43">
        <v>145421</v>
      </c>
      <c r="G97" s="37">
        <v>0</v>
      </c>
      <c r="H97" s="37">
        <v>0</v>
      </c>
      <c r="I97" s="43">
        <v>10076</v>
      </c>
      <c r="J97" s="37">
        <v>0</v>
      </c>
      <c r="K97" s="37">
        <v>0</v>
      </c>
      <c r="L97" s="37">
        <v>0</v>
      </c>
      <c r="M97" s="43">
        <v>182737</v>
      </c>
      <c r="N97" s="43">
        <v>2213</v>
      </c>
      <c r="O97" s="43">
        <v>1372645</v>
      </c>
      <c r="P97" s="43">
        <v>49130</v>
      </c>
      <c r="Q97" s="43">
        <v>3585610</v>
      </c>
      <c r="R97" s="37">
        <v>0</v>
      </c>
      <c r="S97" s="37">
        <v>0</v>
      </c>
      <c r="T97" s="37">
        <v>0</v>
      </c>
      <c r="V97" s="37">
        <v>0</v>
      </c>
      <c r="W97" s="43">
        <v>4461</v>
      </c>
      <c r="X97" s="37">
        <v>0</v>
      </c>
      <c r="Y97" s="43">
        <v>389204</v>
      </c>
      <c r="Z97" s="37">
        <v>0</v>
      </c>
      <c r="AA97" s="43">
        <v>3400</v>
      </c>
      <c r="AB97" s="37">
        <v>0</v>
      </c>
      <c r="AC97" s="37">
        <v>0</v>
      </c>
      <c r="AD97" s="43">
        <v>589184</v>
      </c>
      <c r="AE97" s="37">
        <v>0</v>
      </c>
      <c r="AF97" s="43">
        <v>35503</v>
      </c>
      <c r="AG97" s="37">
        <v>0</v>
      </c>
      <c r="AH97" s="43">
        <v>228665</v>
      </c>
      <c r="AI97" s="43">
        <v>2189808</v>
      </c>
      <c r="AJ97" s="43">
        <v>249561</v>
      </c>
      <c r="AK97" s="43">
        <v>9960</v>
      </c>
      <c r="AL97" s="37">
        <v>0</v>
      </c>
      <c r="AM97" s="44">
        <v>2795</v>
      </c>
      <c r="AN97" s="43">
        <v>1308625</v>
      </c>
      <c r="AP97" s="43">
        <v>1078</v>
      </c>
      <c r="AQ97" s="43">
        <v>405621</v>
      </c>
      <c r="AR97" s="43">
        <v>53429</v>
      </c>
      <c r="AS97" s="37">
        <v>0</v>
      </c>
      <c r="AT97" s="37">
        <v>0</v>
      </c>
      <c r="AU97" s="43">
        <v>458385</v>
      </c>
      <c r="AV97" s="43">
        <v>11541</v>
      </c>
      <c r="AW97" s="43">
        <v>98722</v>
      </c>
      <c r="AX97" s="37">
        <v>0</v>
      </c>
      <c r="AY97" s="43">
        <v>1132252</v>
      </c>
      <c r="AZ97" s="37">
        <v>0</v>
      </c>
      <c r="BA97" s="37">
        <v>0</v>
      </c>
      <c r="BB97" s="37">
        <v>0</v>
      </c>
      <c r="BC97" s="37">
        <v>0</v>
      </c>
      <c r="BD97" s="43">
        <v>97843</v>
      </c>
      <c r="BE97" s="43">
        <v>36000</v>
      </c>
      <c r="BF97" s="43">
        <v>30025</v>
      </c>
      <c r="BG97" s="43">
        <v>2127791</v>
      </c>
      <c r="BH97" s="43">
        <v>2582912</v>
      </c>
      <c r="BI97" s="37">
        <v>0</v>
      </c>
      <c r="BJ97" s="37">
        <v>0</v>
      </c>
      <c r="BK97" s="43">
        <v>21252</v>
      </c>
      <c r="BL97" s="37">
        <v>0</v>
      </c>
      <c r="BM97" s="37">
        <v>0</v>
      </c>
      <c r="BN97" s="37">
        <v>0</v>
      </c>
      <c r="BO97" s="37">
        <v>0</v>
      </c>
      <c r="BP97" s="37">
        <v>0</v>
      </c>
      <c r="BQ97" s="37">
        <v>0</v>
      </c>
      <c r="BR97" s="37">
        <v>0</v>
      </c>
      <c r="BS97" s="37">
        <v>0</v>
      </c>
      <c r="BT97" s="43">
        <v>11046</v>
      </c>
      <c r="BU97" s="37">
        <v>0</v>
      </c>
      <c r="BV97" s="43">
        <v>498729</v>
      </c>
      <c r="BW97" s="43">
        <v>322168</v>
      </c>
      <c r="BX97" s="43">
        <v>746194</v>
      </c>
      <c r="BY97" s="43">
        <v>430743</v>
      </c>
      <c r="BZ97" s="43">
        <v>106756</v>
      </c>
      <c r="CA97" s="44">
        <f t="shared" si="15"/>
        <v>20694692</v>
      </c>
    </row>
    <row r="98" spans="1:79" x14ac:dyDescent="0.25">
      <c r="A98" s="63" t="s">
        <v>751</v>
      </c>
      <c r="B98" s="59" t="s">
        <v>752</v>
      </c>
      <c r="C98" s="43">
        <v>30077</v>
      </c>
      <c r="D98" s="43">
        <v>385878</v>
      </c>
      <c r="E98" s="43">
        <v>52372</v>
      </c>
      <c r="F98" s="43">
        <v>19373</v>
      </c>
      <c r="G98" s="43">
        <v>20080</v>
      </c>
      <c r="H98" s="43">
        <v>147632</v>
      </c>
      <c r="I98" s="43">
        <v>14390</v>
      </c>
      <c r="J98" s="43">
        <v>371723</v>
      </c>
      <c r="K98" s="37">
        <v>0</v>
      </c>
      <c r="L98" s="37">
        <v>0</v>
      </c>
      <c r="M98" s="37">
        <v>0</v>
      </c>
      <c r="N98" s="43">
        <v>627949</v>
      </c>
      <c r="O98" s="43">
        <v>823261</v>
      </c>
      <c r="P98" s="37">
        <v>953</v>
      </c>
      <c r="Q98" s="43">
        <v>3539059</v>
      </c>
      <c r="R98" s="37">
        <v>0</v>
      </c>
      <c r="S98" s="43">
        <v>157614</v>
      </c>
      <c r="T98" s="43">
        <v>56618</v>
      </c>
      <c r="V98" s="37">
        <v>0</v>
      </c>
      <c r="W98" s="43">
        <v>354707</v>
      </c>
      <c r="X98" s="37">
        <v>0</v>
      </c>
      <c r="Y98" s="37">
        <v>0</v>
      </c>
      <c r="Z98" s="43">
        <v>386505</v>
      </c>
      <c r="AA98" s="43">
        <v>49278</v>
      </c>
      <c r="AB98" s="43">
        <v>107182</v>
      </c>
      <c r="AC98" s="43">
        <v>220718</v>
      </c>
      <c r="AD98" s="43">
        <v>271730</v>
      </c>
      <c r="AE98" s="43">
        <v>50872</v>
      </c>
      <c r="AF98" s="43">
        <v>90962</v>
      </c>
      <c r="AG98" s="37">
        <v>0</v>
      </c>
      <c r="AH98" s="43">
        <v>328232</v>
      </c>
      <c r="AI98" s="43">
        <v>2109364</v>
      </c>
      <c r="AJ98" s="43">
        <v>245444</v>
      </c>
      <c r="AK98" s="37">
        <v>0</v>
      </c>
      <c r="AL98" s="37">
        <v>0</v>
      </c>
      <c r="AM98" s="44">
        <v>126529</v>
      </c>
      <c r="AN98" s="43">
        <v>1154882</v>
      </c>
      <c r="AP98" s="43">
        <v>359556</v>
      </c>
      <c r="AQ98" s="43">
        <v>300760</v>
      </c>
      <c r="AR98" s="43">
        <v>14023</v>
      </c>
      <c r="AS98" s="37">
        <v>0</v>
      </c>
      <c r="AT98" s="37">
        <v>0</v>
      </c>
      <c r="AU98" s="43">
        <v>1170276</v>
      </c>
      <c r="AV98" s="43">
        <v>335748</v>
      </c>
      <c r="AW98" s="43">
        <v>135408</v>
      </c>
      <c r="AX98" s="43">
        <v>28071</v>
      </c>
      <c r="AY98" s="43">
        <v>810629</v>
      </c>
      <c r="AZ98" s="43">
        <v>72842</v>
      </c>
      <c r="BA98" s="43">
        <v>233502</v>
      </c>
      <c r="BB98" s="43">
        <v>104637</v>
      </c>
      <c r="BC98" s="37">
        <v>0</v>
      </c>
      <c r="BD98" s="43">
        <v>74758</v>
      </c>
      <c r="BE98" s="43">
        <v>472084</v>
      </c>
      <c r="BF98" s="43">
        <v>205510</v>
      </c>
      <c r="BG98" s="43">
        <v>1324146</v>
      </c>
      <c r="BH98" s="43">
        <v>1958608</v>
      </c>
      <c r="BI98" s="37">
        <v>0</v>
      </c>
      <c r="BJ98" s="43">
        <v>138992</v>
      </c>
      <c r="BK98" s="43">
        <v>203501</v>
      </c>
      <c r="BL98" s="43">
        <v>202941</v>
      </c>
      <c r="BM98" s="43">
        <v>46268</v>
      </c>
      <c r="BN98" s="43">
        <v>345761</v>
      </c>
      <c r="BO98" s="43">
        <v>211657</v>
      </c>
      <c r="BP98" s="43">
        <v>380381</v>
      </c>
      <c r="BQ98" s="43">
        <v>177095</v>
      </c>
      <c r="BR98" s="37">
        <v>0</v>
      </c>
      <c r="BS98" s="37">
        <v>0</v>
      </c>
      <c r="BT98" s="37">
        <v>0</v>
      </c>
      <c r="BU98" s="43">
        <v>271169</v>
      </c>
      <c r="BV98" s="43">
        <v>393885</v>
      </c>
      <c r="BW98" s="43">
        <v>416146</v>
      </c>
      <c r="BX98" s="43">
        <v>969317</v>
      </c>
      <c r="BY98" s="43">
        <v>1237030</v>
      </c>
      <c r="BZ98" s="43">
        <v>37147</v>
      </c>
      <c r="CA98" s="44">
        <f t="shared" si="15"/>
        <v>24375232</v>
      </c>
    </row>
    <row r="99" spans="1:79" x14ac:dyDescent="0.25">
      <c r="A99" s="64" t="s">
        <v>753</v>
      </c>
      <c r="B99" s="52" t="s">
        <v>754</v>
      </c>
      <c r="C99" s="43">
        <v>265423</v>
      </c>
      <c r="D99" s="43">
        <v>1290464</v>
      </c>
      <c r="E99" s="43">
        <v>587164</v>
      </c>
      <c r="F99" s="43">
        <v>687488</v>
      </c>
      <c r="G99" s="43">
        <v>352823</v>
      </c>
      <c r="H99" s="43">
        <v>143474</v>
      </c>
      <c r="I99" s="43">
        <v>402386</v>
      </c>
      <c r="J99" s="43">
        <v>1310213</v>
      </c>
      <c r="K99" s="43">
        <v>781286</v>
      </c>
      <c r="L99" s="43">
        <v>855332</v>
      </c>
      <c r="M99" s="43">
        <v>1034314</v>
      </c>
      <c r="N99" s="43">
        <v>5592429</v>
      </c>
      <c r="O99" s="43">
        <v>2135483</v>
      </c>
      <c r="P99" s="43">
        <v>232642</v>
      </c>
      <c r="Q99" s="43">
        <v>17537847</v>
      </c>
      <c r="R99" s="43">
        <v>589993</v>
      </c>
      <c r="S99" s="43">
        <v>654888</v>
      </c>
      <c r="T99" s="43">
        <v>741258</v>
      </c>
      <c r="V99" s="43">
        <v>1000529</v>
      </c>
      <c r="W99" s="43">
        <v>1012758</v>
      </c>
      <c r="X99" s="37">
        <v>0</v>
      </c>
      <c r="Y99" s="37">
        <v>12</v>
      </c>
      <c r="Z99" s="43">
        <v>1283474</v>
      </c>
      <c r="AA99" s="43">
        <v>623920</v>
      </c>
      <c r="AB99" s="43">
        <v>218555</v>
      </c>
      <c r="AC99" s="43">
        <v>644575</v>
      </c>
      <c r="AD99" s="43">
        <v>2161776</v>
      </c>
      <c r="AE99" s="37">
        <v>320</v>
      </c>
      <c r="AF99" s="43">
        <v>407514</v>
      </c>
      <c r="AG99" s="37">
        <v>0</v>
      </c>
      <c r="AH99" s="43">
        <v>1427412</v>
      </c>
      <c r="AI99" s="43">
        <v>4384384</v>
      </c>
      <c r="AJ99" s="43">
        <v>737041</v>
      </c>
      <c r="AK99" s="37">
        <v>0</v>
      </c>
      <c r="AL99" s="37">
        <v>0</v>
      </c>
      <c r="AM99" s="44">
        <v>865477</v>
      </c>
      <c r="AN99" s="43">
        <v>4027394</v>
      </c>
      <c r="AP99" s="43">
        <v>1686974</v>
      </c>
      <c r="AQ99" s="43">
        <v>1218896</v>
      </c>
      <c r="AR99" s="43">
        <v>493033</v>
      </c>
      <c r="AS99" s="43">
        <v>1184972</v>
      </c>
      <c r="AT99" s="43">
        <v>48025</v>
      </c>
      <c r="AU99" s="43">
        <v>4562456</v>
      </c>
      <c r="AV99" s="43">
        <v>1541752</v>
      </c>
      <c r="AW99" s="43">
        <v>323787</v>
      </c>
      <c r="AX99" s="43">
        <v>252684</v>
      </c>
      <c r="AY99" s="43">
        <v>1232159</v>
      </c>
      <c r="AZ99" s="43">
        <v>101821</v>
      </c>
      <c r="BA99" s="43">
        <v>620541</v>
      </c>
      <c r="BB99" s="43">
        <v>1030904</v>
      </c>
      <c r="BC99" s="43">
        <v>524308</v>
      </c>
      <c r="BD99" s="43">
        <v>1578552</v>
      </c>
      <c r="BE99" s="43">
        <v>2769527</v>
      </c>
      <c r="BF99" s="43">
        <v>1827351</v>
      </c>
      <c r="BG99" s="43">
        <v>4366182</v>
      </c>
      <c r="BH99" s="43">
        <v>4769923</v>
      </c>
      <c r="BI99" s="43">
        <v>263574</v>
      </c>
      <c r="BJ99" s="43">
        <v>292184</v>
      </c>
      <c r="BK99" s="43">
        <v>464958</v>
      </c>
      <c r="BL99" s="43">
        <v>109870</v>
      </c>
      <c r="BM99" s="37">
        <v>108</v>
      </c>
      <c r="BN99" s="43">
        <v>434305</v>
      </c>
      <c r="BO99" s="43">
        <v>472858</v>
      </c>
      <c r="BP99" s="43">
        <v>643857</v>
      </c>
      <c r="BQ99" s="43">
        <v>1358665</v>
      </c>
      <c r="BR99" s="43">
        <v>9129</v>
      </c>
      <c r="BS99" s="43">
        <v>562049</v>
      </c>
      <c r="BT99" s="43">
        <v>473764</v>
      </c>
      <c r="BU99" s="43">
        <v>766918</v>
      </c>
      <c r="BV99" s="43">
        <v>2322682</v>
      </c>
      <c r="BW99" s="43">
        <v>1431166</v>
      </c>
      <c r="BX99" s="43">
        <v>770569</v>
      </c>
      <c r="BY99" s="43">
        <v>548109</v>
      </c>
      <c r="BZ99" s="37">
        <v>0</v>
      </c>
      <c r="CA99" s="44">
        <f t="shared" si="15"/>
        <v>95048660</v>
      </c>
    </row>
    <row r="100" spans="1:79" x14ac:dyDescent="0.25">
      <c r="A100" s="64" t="s">
        <v>755</v>
      </c>
      <c r="B100" s="52" t="s">
        <v>756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44">
        <v>0</v>
      </c>
      <c r="AN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7">
        <v>0</v>
      </c>
      <c r="AW100" s="37">
        <v>0</v>
      </c>
      <c r="AX100" s="37">
        <v>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37">
        <v>0</v>
      </c>
      <c r="BJ100" s="43">
        <v>290066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44">
        <f t="shared" si="15"/>
        <v>290066</v>
      </c>
    </row>
    <row r="101" spans="1:79" x14ac:dyDescent="0.25">
      <c r="A101" s="64" t="s">
        <v>757</v>
      </c>
      <c r="B101" s="52" t="s">
        <v>758</v>
      </c>
      <c r="C101" s="43">
        <v>499016</v>
      </c>
      <c r="D101" s="43">
        <v>4827510</v>
      </c>
      <c r="E101" s="43">
        <v>574600</v>
      </c>
      <c r="F101" s="43">
        <v>1310867</v>
      </c>
      <c r="G101" s="43">
        <v>933700</v>
      </c>
      <c r="H101" s="43">
        <v>560782</v>
      </c>
      <c r="I101" s="43">
        <v>1619983</v>
      </c>
      <c r="J101" s="43">
        <v>8651197</v>
      </c>
      <c r="K101" s="43">
        <v>1447298</v>
      </c>
      <c r="L101" s="43">
        <v>754118</v>
      </c>
      <c r="M101" s="43">
        <v>1114440</v>
      </c>
      <c r="N101" s="43">
        <v>7902488</v>
      </c>
      <c r="O101" s="43">
        <v>16862157</v>
      </c>
      <c r="P101" s="43">
        <v>420717</v>
      </c>
      <c r="Q101" s="43">
        <v>8527582</v>
      </c>
      <c r="R101" s="43">
        <v>2594740</v>
      </c>
      <c r="S101" s="43">
        <v>6030761</v>
      </c>
      <c r="T101" s="43">
        <v>2360804</v>
      </c>
      <c r="V101" s="43">
        <v>1244304</v>
      </c>
      <c r="W101" s="43">
        <v>11432406</v>
      </c>
      <c r="X101" s="43">
        <v>351341</v>
      </c>
      <c r="Y101" s="43">
        <v>1204656</v>
      </c>
      <c r="Z101" s="43">
        <v>4686265</v>
      </c>
      <c r="AA101" s="43">
        <v>1098883</v>
      </c>
      <c r="AB101" s="43">
        <v>1393466</v>
      </c>
      <c r="AC101" s="43">
        <v>665208</v>
      </c>
      <c r="AD101" s="43">
        <v>5142351</v>
      </c>
      <c r="AE101" s="43">
        <v>173839</v>
      </c>
      <c r="AF101" s="43">
        <v>482898</v>
      </c>
      <c r="AG101" s="43">
        <v>7659</v>
      </c>
      <c r="AH101" s="43">
        <v>2188002</v>
      </c>
      <c r="AI101" s="43">
        <v>15871083</v>
      </c>
      <c r="AJ101" s="43">
        <v>568491</v>
      </c>
      <c r="AK101" s="43">
        <v>320944</v>
      </c>
      <c r="AL101" s="43">
        <v>285875</v>
      </c>
      <c r="AM101" s="44">
        <v>1366522</v>
      </c>
      <c r="AN101" s="43">
        <v>14022886</v>
      </c>
      <c r="AP101" s="43">
        <v>2456088</v>
      </c>
      <c r="AQ101" s="43">
        <v>2772526</v>
      </c>
      <c r="AR101" s="43">
        <v>1119547</v>
      </c>
      <c r="AS101" s="43">
        <v>1464962</v>
      </c>
      <c r="AT101" s="43">
        <v>405094</v>
      </c>
      <c r="AU101" s="43">
        <v>16797830</v>
      </c>
      <c r="AV101" s="43">
        <v>5691880</v>
      </c>
      <c r="AW101" s="43">
        <v>997388</v>
      </c>
      <c r="AX101" s="43">
        <v>451145</v>
      </c>
      <c r="AY101" s="43">
        <v>5479243</v>
      </c>
      <c r="AZ101" s="43">
        <v>702464</v>
      </c>
      <c r="BA101" s="43">
        <v>1591945</v>
      </c>
      <c r="BB101" s="43">
        <v>1693902</v>
      </c>
      <c r="BC101" s="43">
        <v>2264110</v>
      </c>
      <c r="BD101" s="43">
        <v>2023337</v>
      </c>
      <c r="BE101" s="43">
        <v>12058774</v>
      </c>
      <c r="BF101" s="43">
        <v>3737986</v>
      </c>
      <c r="BG101" s="43">
        <v>7600239</v>
      </c>
      <c r="BH101" s="43">
        <v>13066766</v>
      </c>
      <c r="BI101" s="43">
        <v>673966</v>
      </c>
      <c r="BJ101" s="43">
        <v>2535668</v>
      </c>
      <c r="BK101" s="43">
        <v>4098148</v>
      </c>
      <c r="BL101" s="43">
        <v>1156407</v>
      </c>
      <c r="BM101" s="43">
        <v>865712</v>
      </c>
      <c r="BN101" s="43">
        <v>1758054</v>
      </c>
      <c r="BO101" s="43">
        <v>1564294</v>
      </c>
      <c r="BP101" s="43">
        <v>3111446</v>
      </c>
      <c r="BQ101" s="43">
        <v>6606452</v>
      </c>
      <c r="BR101" s="43">
        <v>1506913</v>
      </c>
      <c r="BS101" s="43">
        <v>887307</v>
      </c>
      <c r="BT101" s="43">
        <v>1518479</v>
      </c>
      <c r="BU101" s="43">
        <v>6830619</v>
      </c>
      <c r="BV101" s="43">
        <v>7326103</v>
      </c>
      <c r="BW101" s="43">
        <v>4931613</v>
      </c>
      <c r="BX101" s="43">
        <v>5156198</v>
      </c>
      <c r="BY101" s="43">
        <v>4770210</v>
      </c>
      <c r="BZ101" s="43">
        <v>234501</v>
      </c>
      <c r="CA101" s="44">
        <f t="shared" si="15"/>
        <v>267407155</v>
      </c>
    </row>
    <row r="102" spans="1:79" x14ac:dyDescent="0.25">
      <c r="A102" s="62" t="s">
        <v>759</v>
      </c>
      <c r="B102" s="58" t="s">
        <v>760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44">
        <v>0</v>
      </c>
      <c r="AN102" s="37">
        <v>0</v>
      </c>
      <c r="AP102" s="37">
        <v>0</v>
      </c>
      <c r="AQ102" s="37">
        <v>0</v>
      </c>
      <c r="AR102" s="37">
        <v>0</v>
      </c>
      <c r="AS102" s="37">
        <v>0</v>
      </c>
      <c r="AT102" s="37">
        <v>0</v>
      </c>
      <c r="AU102" s="37">
        <v>0</v>
      </c>
      <c r="AV102" s="37">
        <v>0</v>
      </c>
      <c r="AW102" s="37">
        <v>0</v>
      </c>
      <c r="AX102" s="37">
        <v>0</v>
      </c>
      <c r="AY102" s="37">
        <v>0</v>
      </c>
      <c r="AZ102" s="37">
        <v>0</v>
      </c>
      <c r="BA102" s="37">
        <v>0</v>
      </c>
      <c r="BB102" s="37">
        <v>0</v>
      </c>
      <c r="BC102" s="37">
        <v>0</v>
      </c>
      <c r="BD102" s="37">
        <v>0</v>
      </c>
      <c r="BE102" s="37">
        <v>0</v>
      </c>
      <c r="BF102" s="37">
        <v>0</v>
      </c>
      <c r="BG102" s="37">
        <v>0</v>
      </c>
      <c r="BH102" s="37">
        <v>0</v>
      </c>
      <c r="BI102" s="37">
        <v>0</v>
      </c>
      <c r="BJ102" s="37">
        <v>0</v>
      </c>
      <c r="BK102" s="37">
        <v>0</v>
      </c>
      <c r="BL102" s="37">
        <v>0</v>
      </c>
      <c r="BM102" s="37">
        <v>0</v>
      </c>
      <c r="BN102" s="37">
        <v>0</v>
      </c>
      <c r="BO102" s="37">
        <v>0</v>
      </c>
      <c r="BP102" s="37">
        <v>0</v>
      </c>
      <c r="BQ102" s="37">
        <v>0</v>
      </c>
      <c r="BR102" s="37">
        <v>0</v>
      </c>
      <c r="BS102" s="37">
        <v>0</v>
      </c>
      <c r="BT102" s="37">
        <v>0</v>
      </c>
      <c r="BU102" s="37">
        <v>0</v>
      </c>
      <c r="BV102" s="37">
        <v>0</v>
      </c>
      <c r="BW102" s="37">
        <v>0</v>
      </c>
      <c r="BX102" s="37">
        <v>0</v>
      </c>
      <c r="BY102" s="37">
        <v>0</v>
      </c>
      <c r="BZ102" s="37">
        <v>0</v>
      </c>
      <c r="CA102" s="44">
        <f t="shared" si="15"/>
        <v>0</v>
      </c>
    </row>
    <row r="103" spans="1:79" x14ac:dyDescent="0.25">
      <c r="A103" s="56" t="s">
        <v>761</v>
      </c>
      <c r="B103" s="37" t="s">
        <v>762</v>
      </c>
      <c r="AM103" s="44"/>
      <c r="CA103" s="44">
        <f t="shared" si="15"/>
        <v>0</v>
      </c>
    </row>
    <row r="104" spans="1:79" x14ac:dyDescent="0.25">
      <c r="A104" s="62" t="s">
        <v>763</v>
      </c>
      <c r="B104" s="58" t="s">
        <v>764</v>
      </c>
      <c r="C104" s="43">
        <v>2713785</v>
      </c>
      <c r="D104" s="43">
        <v>5869668</v>
      </c>
      <c r="E104" s="43">
        <v>443710</v>
      </c>
      <c r="F104" s="43">
        <v>5378768</v>
      </c>
      <c r="G104" s="43">
        <v>1213726</v>
      </c>
      <c r="H104" s="43">
        <v>920352</v>
      </c>
      <c r="I104" s="43">
        <v>1860635</v>
      </c>
      <c r="J104" s="43">
        <v>5682340</v>
      </c>
      <c r="K104" s="43">
        <v>826142</v>
      </c>
      <c r="L104" s="43">
        <v>1015834</v>
      </c>
      <c r="M104" s="43">
        <v>595630</v>
      </c>
      <c r="N104" s="43">
        <v>6777410</v>
      </c>
      <c r="O104" s="43">
        <v>9702635</v>
      </c>
      <c r="P104" s="43">
        <v>434422</v>
      </c>
      <c r="Q104" s="43">
        <v>7573186</v>
      </c>
      <c r="R104" s="43">
        <v>1494735</v>
      </c>
      <c r="S104" s="43">
        <v>2039796</v>
      </c>
      <c r="T104" s="43">
        <v>2621030</v>
      </c>
      <c r="V104" s="43">
        <v>1851950</v>
      </c>
      <c r="W104" s="43">
        <v>2572973</v>
      </c>
      <c r="X104" s="43">
        <v>450990</v>
      </c>
      <c r="Y104" s="43">
        <v>1652399</v>
      </c>
      <c r="Z104" s="43">
        <v>3553201</v>
      </c>
      <c r="AA104" s="43">
        <v>1918205</v>
      </c>
      <c r="AB104" s="43">
        <v>825645</v>
      </c>
      <c r="AC104" s="43">
        <v>1363798</v>
      </c>
      <c r="AD104" s="43">
        <v>4174535</v>
      </c>
      <c r="AE104" s="43">
        <v>525632</v>
      </c>
      <c r="AF104" s="43">
        <v>989723</v>
      </c>
      <c r="AG104" s="43">
        <v>762814</v>
      </c>
      <c r="AH104" s="43">
        <v>2279226</v>
      </c>
      <c r="AI104" s="43">
        <v>16241675</v>
      </c>
      <c r="AJ104" s="43">
        <v>1528599</v>
      </c>
      <c r="AK104" s="43">
        <v>382683</v>
      </c>
      <c r="AL104" s="43">
        <v>302903</v>
      </c>
      <c r="AM104" s="44">
        <v>1242170</v>
      </c>
      <c r="AN104" s="43">
        <v>18048603</v>
      </c>
      <c r="AP104" s="43">
        <v>4121977</v>
      </c>
      <c r="AQ104" s="43">
        <v>5031775</v>
      </c>
      <c r="AR104" s="43">
        <v>1475230</v>
      </c>
      <c r="AS104" s="43">
        <v>1289449</v>
      </c>
      <c r="AT104" s="43">
        <v>572525</v>
      </c>
      <c r="AU104" s="43">
        <v>8119012</v>
      </c>
      <c r="AV104" s="43">
        <v>3386057</v>
      </c>
      <c r="AW104" s="43">
        <v>1254885</v>
      </c>
      <c r="AX104" s="43">
        <v>1121351</v>
      </c>
      <c r="AY104" s="43">
        <v>8030781</v>
      </c>
      <c r="AZ104" s="43">
        <v>442081</v>
      </c>
      <c r="BA104" s="43">
        <v>1642183</v>
      </c>
      <c r="BB104" s="43">
        <v>1378602</v>
      </c>
      <c r="BC104" s="43">
        <v>2730524</v>
      </c>
      <c r="BD104" s="43">
        <v>7488842</v>
      </c>
      <c r="BE104" s="43">
        <v>3708014</v>
      </c>
      <c r="BF104" s="43">
        <v>4921260</v>
      </c>
      <c r="BG104" s="43">
        <v>8665143</v>
      </c>
      <c r="BH104" s="43">
        <v>14066361</v>
      </c>
      <c r="BI104" s="43">
        <v>1996912</v>
      </c>
      <c r="BJ104" s="43">
        <v>2405936</v>
      </c>
      <c r="BK104" s="43">
        <v>5624560</v>
      </c>
      <c r="BL104" s="43">
        <v>1280117</v>
      </c>
      <c r="BM104" s="43">
        <v>1904345</v>
      </c>
      <c r="BN104" s="43">
        <v>4127455</v>
      </c>
      <c r="BO104" s="43">
        <v>5355026</v>
      </c>
      <c r="BP104" s="43">
        <v>1123191</v>
      </c>
      <c r="BQ104" s="43">
        <v>4720660</v>
      </c>
      <c r="BR104" s="43">
        <v>1449674</v>
      </c>
      <c r="BS104" s="43">
        <v>859012</v>
      </c>
      <c r="BT104" s="43">
        <v>1686579</v>
      </c>
      <c r="BU104" s="43">
        <v>3336631</v>
      </c>
      <c r="BV104" s="43">
        <v>6472398</v>
      </c>
      <c r="BW104" s="43">
        <v>7101865</v>
      </c>
      <c r="BX104" s="43">
        <v>5876269</v>
      </c>
      <c r="BY104" s="43">
        <v>4017687</v>
      </c>
      <c r="BZ104" s="43">
        <v>256810</v>
      </c>
      <c r="CA104" s="44">
        <f t="shared" si="15"/>
        <v>256872707</v>
      </c>
    </row>
    <row r="105" spans="1:79" x14ac:dyDescent="0.25">
      <c r="A105" s="62" t="s">
        <v>765</v>
      </c>
      <c r="B105" s="58" t="s">
        <v>766</v>
      </c>
      <c r="C105" s="43">
        <v>150096</v>
      </c>
      <c r="D105" s="43">
        <v>119503</v>
      </c>
      <c r="E105" s="43">
        <v>4473</v>
      </c>
      <c r="F105" s="37">
        <v>0</v>
      </c>
      <c r="G105" s="43">
        <v>104360</v>
      </c>
      <c r="H105" s="37">
        <v>588</v>
      </c>
      <c r="I105" s="37">
        <v>0</v>
      </c>
      <c r="J105" s="37">
        <v>0</v>
      </c>
      <c r="K105" s="43">
        <v>9352</v>
      </c>
      <c r="L105" s="37">
        <v>0</v>
      </c>
      <c r="M105" s="37">
        <v>0</v>
      </c>
      <c r="N105" s="43">
        <v>919755</v>
      </c>
      <c r="O105" s="37">
        <v>0</v>
      </c>
      <c r="P105" s="43">
        <v>-23815</v>
      </c>
      <c r="Q105" s="43">
        <v>4093194</v>
      </c>
      <c r="R105" s="43">
        <v>55414</v>
      </c>
      <c r="S105" s="37">
        <v>0</v>
      </c>
      <c r="T105" s="37">
        <v>0</v>
      </c>
      <c r="V105" s="37">
        <v>0</v>
      </c>
      <c r="W105" s="43">
        <v>1086562</v>
      </c>
      <c r="X105" s="43">
        <v>120853</v>
      </c>
      <c r="Y105" s="37">
        <v>0</v>
      </c>
      <c r="Z105" s="37">
        <v>0</v>
      </c>
      <c r="AA105" s="37">
        <v>0</v>
      </c>
      <c r="AB105" s="37">
        <v>0</v>
      </c>
      <c r="AC105" s="43">
        <v>1234</v>
      </c>
      <c r="AD105" s="37">
        <v>0</v>
      </c>
      <c r="AE105" s="43">
        <v>57812</v>
      </c>
      <c r="AF105" s="43">
        <v>123988</v>
      </c>
      <c r="AG105" s="43">
        <v>19064</v>
      </c>
      <c r="AH105" s="43">
        <v>31688</v>
      </c>
      <c r="AI105" s="43">
        <v>14149600</v>
      </c>
      <c r="AJ105" s="37">
        <v>0</v>
      </c>
      <c r="AK105" s="37">
        <v>0</v>
      </c>
      <c r="AL105" s="37">
        <v>0</v>
      </c>
      <c r="AM105" s="44">
        <v>0</v>
      </c>
      <c r="AN105" s="37">
        <v>0</v>
      </c>
      <c r="AP105" s="43">
        <v>17165</v>
      </c>
      <c r="AQ105" s="43">
        <v>148131</v>
      </c>
      <c r="AR105" s="37">
        <v>0</v>
      </c>
      <c r="AS105" s="43">
        <v>10595</v>
      </c>
      <c r="AT105" s="43">
        <v>46218</v>
      </c>
      <c r="AU105" s="37">
        <v>0</v>
      </c>
      <c r="AV105" s="43">
        <v>154741</v>
      </c>
      <c r="AW105" s="37">
        <v>0</v>
      </c>
      <c r="AX105" s="37">
        <v>0</v>
      </c>
      <c r="AY105" s="37">
        <v>1</v>
      </c>
      <c r="AZ105" s="37">
        <v>0</v>
      </c>
      <c r="BA105" s="43">
        <v>74908</v>
      </c>
      <c r="BB105" s="43">
        <v>277229</v>
      </c>
      <c r="BC105" s="37">
        <v>0</v>
      </c>
      <c r="BD105" s="37">
        <v>0</v>
      </c>
      <c r="BE105" s="43">
        <v>75443</v>
      </c>
      <c r="BF105" s="43">
        <v>64341</v>
      </c>
      <c r="BG105" s="37">
        <v>0</v>
      </c>
      <c r="BH105" s="37">
        <v>0</v>
      </c>
      <c r="BI105" s="37">
        <v>0</v>
      </c>
      <c r="BJ105" s="37">
        <v>0</v>
      </c>
      <c r="BK105" s="43">
        <v>429832</v>
      </c>
      <c r="BL105" s="37">
        <v>0</v>
      </c>
      <c r="BM105" s="37">
        <v>0</v>
      </c>
      <c r="BN105" s="37">
        <v>0</v>
      </c>
      <c r="BO105" s="37">
        <v>0</v>
      </c>
      <c r="BP105" s="37">
        <v>0</v>
      </c>
      <c r="BQ105" s="43">
        <v>259795</v>
      </c>
      <c r="BR105" s="37">
        <v>0</v>
      </c>
      <c r="BS105" s="43">
        <v>259377</v>
      </c>
      <c r="BT105" s="43">
        <v>370383</v>
      </c>
      <c r="BU105" s="37">
        <v>0</v>
      </c>
      <c r="BV105" s="37">
        <v>0</v>
      </c>
      <c r="BW105" s="37">
        <v>0</v>
      </c>
      <c r="BX105" s="43">
        <v>320526</v>
      </c>
      <c r="BY105" s="43">
        <v>7674</v>
      </c>
      <c r="BZ105" s="37">
        <v>0</v>
      </c>
      <c r="CA105" s="44">
        <f t="shared" si="15"/>
        <v>23540080</v>
      </c>
    </row>
    <row r="106" spans="1:79" x14ac:dyDescent="0.25">
      <c r="A106" s="62" t="s">
        <v>767</v>
      </c>
      <c r="B106" s="58" t="s">
        <v>768</v>
      </c>
      <c r="C106" s="37">
        <v>0</v>
      </c>
      <c r="D106" s="43">
        <v>343168</v>
      </c>
      <c r="E106" s="37">
        <v>0</v>
      </c>
      <c r="F106" s="37">
        <v>0</v>
      </c>
      <c r="G106" s="43">
        <v>120575</v>
      </c>
      <c r="H106" s="43">
        <v>9071</v>
      </c>
      <c r="I106" s="37">
        <v>0</v>
      </c>
      <c r="J106" s="37">
        <v>0</v>
      </c>
      <c r="K106" s="37">
        <v>0</v>
      </c>
      <c r="L106" s="43">
        <v>5681</v>
      </c>
      <c r="M106" s="37">
        <v>0</v>
      </c>
      <c r="N106" s="43">
        <v>16700</v>
      </c>
      <c r="O106" s="37">
        <v>0</v>
      </c>
      <c r="P106" s="43">
        <v>4039</v>
      </c>
      <c r="Q106" s="43">
        <v>706949</v>
      </c>
      <c r="R106" s="43">
        <v>1301590</v>
      </c>
      <c r="S106" s="37">
        <v>0</v>
      </c>
      <c r="T106" s="37">
        <v>0</v>
      </c>
      <c r="V106" s="37">
        <v>0</v>
      </c>
      <c r="W106" s="43">
        <v>375191</v>
      </c>
      <c r="X106" s="43">
        <v>191320</v>
      </c>
      <c r="Y106" s="37">
        <v>0</v>
      </c>
      <c r="Z106" s="43">
        <v>14264</v>
      </c>
      <c r="AA106" s="37">
        <v>0</v>
      </c>
      <c r="AB106" s="37">
        <v>0</v>
      </c>
      <c r="AC106" s="37">
        <v>0</v>
      </c>
      <c r="AD106" s="43">
        <v>3625</v>
      </c>
      <c r="AE106" s="43">
        <v>80550</v>
      </c>
      <c r="AF106" s="43">
        <v>58374</v>
      </c>
      <c r="AG106" s="43">
        <v>466672</v>
      </c>
      <c r="AH106" s="43">
        <v>603032</v>
      </c>
      <c r="AI106" s="43">
        <v>4585585</v>
      </c>
      <c r="AJ106" s="43">
        <v>2154804</v>
      </c>
      <c r="AK106" s="37">
        <v>0</v>
      </c>
      <c r="AL106" s="43">
        <v>591797</v>
      </c>
      <c r="AM106" s="44">
        <v>1000</v>
      </c>
      <c r="AN106" s="37">
        <v>0</v>
      </c>
      <c r="AP106" s="43">
        <v>50635</v>
      </c>
      <c r="AQ106" s="37">
        <v>0</v>
      </c>
      <c r="AR106" s="37">
        <v>0</v>
      </c>
      <c r="AS106" s="43">
        <v>151151</v>
      </c>
      <c r="AT106" s="43">
        <v>42434</v>
      </c>
      <c r="AU106" s="37">
        <v>0</v>
      </c>
      <c r="AV106" s="43">
        <v>78138</v>
      </c>
      <c r="AW106" s="37">
        <v>0</v>
      </c>
      <c r="AX106" s="37">
        <v>0</v>
      </c>
      <c r="AY106" s="37">
        <v>0</v>
      </c>
      <c r="AZ106" s="37">
        <v>0</v>
      </c>
      <c r="BA106" s="37">
        <v>0</v>
      </c>
      <c r="BB106" s="43">
        <v>85159</v>
      </c>
      <c r="BC106" s="37">
        <v>0</v>
      </c>
      <c r="BD106" s="37">
        <v>0</v>
      </c>
      <c r="BE106" s="43">
        <v>337037</v>
      </c>
      <c r="BF106" s="43">
        <v>2411480</v>
      </c>
      <c r="BG106" s="37">
        <v>0</v>
      </c>
      <c r="BH106" s="37">
        <v>0</v>
      </c>
      <c r="BI106" s="37">
        <v>0</v>
      </c>
      <c r="BJ106" s="37">
        <v>0</v>
      </c>
      <c r="BK106" s="43">
        <v>20537</v>
      </c>
      <c r="BL106" s="37">
        <v>0</v>
      </c>
      <c r="BM106" s="37">
        <v>0</v>
      </c>
      <c r="BN106" s="37">
        <v>0</v>
      </c>
      <c r="BO106" s="37">
        <v>0</v>
      </c>
      <c r="BP106" s="37">
        <v>0</v>
      </c>
      <c r="BQ106" s="43">
        <v>524235</v>
      </c>
      <c r="BR106" s="37">
        <v>0</v>
      </c>
      <c r="BS106" s="37">
        <v>0</v>
      </c>
      <c r="BT106" s="43">
        <v>91514</v>
      </c>
      <c r="BU106" s="37">
        <v>0</v>
      </c>
      <c r="BV106" s="37">
        <v>0</v>
      </c>
      <c r="BW106" s="37">
        <v>0</v>
      </c>
      <c r="BX106" s="37">
        <v>0</v>
      </c>
      <c r="BY106" s="43">
        <v>4831</v>
      </c>
      <c r="BZ106" s="37">
        <v>0</v>
      </c>
      <c r="CA106" s="44">
        <f t="shared" si="15"/>
        <v>15431138</v>
      </c>
    </row>
    <row r="107" spans="1:79" x14ac:dyDescent="0.25">
      <c r="A107" s="37" t="s">
        <v>688</v>
      </c>
      <c r="B107" s="37" t="s">
        <v>769</v>
      </c>
      <c r="C107" s="43">
        <f>C108-C104-C105-C106-C88</f>
        <v>17951035</v>
      </c>
      <c r="D107" s="43">
        <f t="shared" ref="D107:BO107" si="16">D108-D104-D105-D106-D88</f>
        <v>111100501</v>
      </c>
      <c r="E107" s="43">
        <f t="shared" si="16"/>
        <v>11040802</v>
      </c>
      <c r="F107" s="43">
        <f t="shared" si="16"/>
        <v>42122530</v>
      </c>
      <c r="G107" s="43">
        <f t="shared" si="16"/>
        <v>18633417</v>
      </c>
      <c r="H107" s="43">
        <f t="shared" si="16"/>
        <v>15714787</v>
      </c>
      <c r="I107" s="43">
        <f t="shared" si="16"/>
        <v>18805183</v>
      </c>
      <c r="J107" s="43">
        <f t="shared" si="16"/>
        <v>90095137</v>
      </c>
      <c r="K107" s="43">
        <f t="shared" si="16"/>
        <v>16114375</v>
      </c>
      <c r="L107" s="43">
        <f t="shared" si="16"/>
        <v>13284186</v>
      </c>
      <c r="M107" s="43">
        <f t="shared" si="16"/>
        <v>11328282</v>
      </c>
      <c r="N107" s="43">
        <f t="shared" si="16"/>
        <v>140556117</v>
      </c>
      <c r="O107" s="43">
        <f t="shared" si="16"/>
        <v>211217202</v>
      </c>
      <c r="P107" s="43">
        <f t="shared" si="16"/>
        <v>11679896</v>
      </c>
      <c r="Q107" s="43">
        <f t="shared" si="16"/>
        <v>399631440</v>
      </c>
      <c r="R107" s="43">
        <f t="shared" si="16"/>
        <v>43917574</v>
      </c>
      <c r="S107" s="43">
        <f t="shared" si="16"/>
        <v>38991826</v>
      </c>
      <c r="T107" s="43">
        <f t="shared" si="16"/>
        <v>43040526</v>
      </c>
      <c r="U107" s="43">
        <f t="shared" si="16"/>
        <v>0</v>
      </c>
      <c r="V107" s="43">
        <f t="shared" si="16"/>
        <v>34910704</v>
      </c>
      <c r="W107" s="43">
        <f t="shared" si="16"/>
        <v>71592785</v>
      </c>
      <c r="X107" s="43">
        <f t="shared" si="16"/>
        <v>6951052</v>
      </c>
      <c r="Y107" s="43">
        <f t="shared" si="16"/>
        <v>23586891</v>
      </c>
      <c r="Z107" s="43">
        <f t="shared" si="16"/>
        <v>120302272</v>
      </c>
      <c r="AA107" s="43">
        <f t="shared" si="16"/>
        <v>18948030</v>
      </c>
      <c r="AB107" s="43">
        <f t="shared" si="16"/>
        <v>22299550</v>
      </c>
      <c r="AC107" s="43">
        <f t="shared" si="16"/>
        <v>23628061</v>
      </c>
      <c r="AD107" s="43">
        <f t="shared" si="16"/>
        <v>89056126</v>
      </c>
      <c r="AE107" s="43">
        <f t="shared" si="16"/>
        <v>6267279</v>
      </c>
      <c r="AF107" s="43">
        <f t="shared" si="16"/>
        <v>20639235</v>
      </c>
      <c r="AG107" s="43">
        <f t="shared" si="16"/>
        <v>7103841</v>
      </c>
      <c r="AH107" s="43">
        <f t="shared" si="16"/>
        <v>60811354</v>
      </c>
      <c r="AI107" s="43">
        <f t="shared" si="16"/>
        <v>391369633</v>
      </c>
      <c r="AJ107" s="43">
        <f t="shared" si="16"/>
        <v>50904586</v>
      </c>
      <c r="AK107" s="43">
        <f t="shared" si="16"/>
        <v>5930233</v>
      </c>
      <c r="AL107" s="43">
        <f t="shared" si="16"/>
        <v>9668396</v>
      </c>
      <c r="AM107" s="43">
        <f t="shared" si="16"/>
        <v>19663015</v>
      </c>
      <c r="AN107" s="43">
        <f t="shared" si="16"/>
        <v>275260165</v>
      </c>
      <c r="AO107" s="43">
        <f t="shared" si="16"/>
        <v>0</v>
      </c>
      <c r="AP107" s="43">
        <f t="shared" si="16"/>
        <v>65983354</v>
      </c>
      <c r="AQ107" s="43">
        <f t="shared" si="16"/>
        <v>80770158</v>
      </c>
      <c r="AR107" s="43">
        <f t="shared" si="16"/>
        <v>30921422</v>
      </c>
      <c r="AS107" s="43">
        <f t="shared" si="16"/>
        <v>20412996</v>
      </c>
      <c r="AT107" s="43">
        <f t="shared" si="16"/>
        <v>12718697</v>
      </c>
      <c r="AU107" s="43">
        <f t="shared" si="16"/>
        <v>154263819</v>
      </c>
      <c r="AV107" s="43">
        <f t="shared" si="16"/>
        <v>56736993</v>
      </c>
      <c r="AW107" s="43">
        <f t="shared" si="16"/>
        <v>16044328</v>
      </c>
      <c r="AX107" s="43">
        <f t="shared" si="16"/>
        <v>23579407</v>
      </c>
      <c r="AY107" s="43">
        <f t="shared" si="16"/>
        <v>110483986</v>
      </c>
      <c r="AZ107" s="43">
        <f t="shared" si="16"/>
        <v>7057349</v>
      </c>
      <c r="BA107" s="43">
        <f t="shared" si="16"/>
        <v>29908012</v>
      </c>
      <c r="BB107" s="43">
        <f t="shared" si="16"/>
        <v>28356721</v>
      </c>
      <c r="BC107" s="43">
        <f t="shared" si="16"/>
        <v>39943328</v>
      </c>
      <c r="BD107" s="43">
        <f t="shared" si="16"/>
        <v>56421700</v>
      </c>
      <c r="BE107" s="43">
        <f t="shared" si="16"/>
        <v>95996938</v>
      </c>
      <c r="BF107" s="43">
        <f t="shared" si="16"/>
        <v>73553475</v>
      </c>
      <c r="BG107" s="43">
        <f t="shared" si="16"/>
        <v>184567760</v>
      </c>
      <c r="BH107" s="43">
        <f t="shared" si="16"/>
        <v>177939360</v>
      </c>
      <c r="BI107" s="43">
        <f t="shared" si="16"/>
        <v>12965987</v>
      </c>
      <c r="BJ107" s="43">
        <f t="shared" si="16"/>
        <v>27788853</v>
      </c>
      <c r="BK107" s="43">
        <f t="shared" si="16"/>
        <v>50212590</v>
      </c>
      <c r="BL107" s="43">
        <f t="shared" si="16"/>
        <v>18887273</v>
      </c>
      <c r="BM107" s="43">
        <f t="shared" si="16"/>
        <v>13032715</v>
      </c>
      <c r="BN107" s="43">
        <f t="shared" si="16"/>
        <v>44569383</v>
      </c>
      <c r="BO107" s="43">
        <f t="shared" si="16"/>
        <v>62868115</v>
      </c>
      <c r="BP107" s="43">
        <f t="shared" ref="BP107:CA107" si="17">BP108-BP104-BP105-BP106-BP88</f>
        <v>53468220</v>
      </c>
      <c r="BQ107" s="43">
        <f t="shared" si="17"/>
        <v>86808914</v>
      </c>
      <c r="BR107" s="43">
        <f t="shared" si="17"/>
        <v>19124905</v>
      </c>
      <c r="BS107" s="43">
        <f t="shared" si="17"/>
        <v>33768936</v>
      </c>
      <c r="BT107" s="43">
        <f t="shared" si="17"/>
        <v>29736929</v>
      </c>
      <c r="BU107" s="43">
        <f t="shared" si="17"/>
        <v>50174905</v>
      </c>
      <c r="BV107" s="43">
        <f t="shared" si="17"/>
        <v>100097690</v>
      </c>
      <c r="BW107" s="43">
        <f t="shared" si="17"/>
        <v>83518322</v>
      </c>
      <c r="BX107" s="43">
        <f t="shared" si="17"/>
        <v>94682511</v>
      </c>
      <c r="BY107" s="43">
        <f t="shared" si="17"/>
        <v>90417577</v>
      </c>
      <c r="BZ107" s="43">
        <f t="shared" si="17"/>
        <v>9694751</v>
      </c>
      <c r="CA107" s="43">
        <f t="shared" si="17"/>
        <v>4661596403</v>
      </c>
    </row>
    <row r="108" spans="1:79" x14ac:dyDescent="0.25">
      <c r="A108" s="37" t="s">
        <v>688</v>
      </c>
      <c r="B108" s="37" t="s">
        <v>770</v>
      </c>
      <c r="C108" s="43">
        <f>SUM(C69:C106)</f>
        <v>29883002</v>
      </c>
      <c r="D108" s="43">
        <f t="shared" ref="D108:BO108" si="18">SUM(D69:D106)</f>
        <v>182722940</v>
      </c>
      <c r="E108" s="43">
        <f t="shared" si="18"/>
        <v>12203531</v>
      </c>
      <c r="F108" s="43">
        <f t="shared" si="18"/>
        <v>59522657</v>
      </c>
      <c r="G108" s="43">
        <f t="shared" si="18"/>
        <v>22014245</v>
      </c>
      <c r="H108" s="43">
        <f t="shared" si="18"/>
        <v>21832451</v>
      </c>
      <c r="I108" s="43">
        <f t="shared" si="18"/>
        <v>22176971</v>
      </c>
      <c r="J108" s="43">
        <f t="shared" si="18"/>
        <v>101316214</v>
      </c>
      <c r="K108" s="43">
        <f t="shared" si="18"/>
        <v>20701045</v>
      </c>
      <c r="L108" s="43">
        <f t="shared" si="18"/>
        <v>14340788</v>
      </c>
      <c r="M108" s="43">
        <f t="shared" si="18"/>
        <v>12355165</v>
      </c>
      <c r="N108" s="43">
        <f t="shared" si="18"/>
        <v>274804410</v>
      </c>
      <c r="O108" s="43">
        <f t="shared" si="18"/>
        <v>288771576</v>
      </c>
      <c r="P108" s="43">
        <f t="shared" si="18"/>
        <v>12632571</v>
      </c>
      <c r="Q108" s="43">
        <f t="shared" si="18"/>
        <v>567371711</v>
      </c>
      <c r="R108" s="43">
        <f t="shared" si="18"/>
        <v>55023547</v>
      </c>
      <c r="S108" s="43">
        <f t="shared" si="18"/>
        <v>42727913</v>
      </c>
      <c r="T108" s="43">
        <f t="shared" si="18"/>
        <v>46376305</v>
      </c>
      <c r="U108" s="43">
        <f t="shared" si="18"/>
        <v>0</v>
      </c>
      <c r="V108" s="43">
        <f t="shared" si="18"/>
        <v>41099765</v>
      </c>
      <c r="W108" s="43">
        <f t="shared" si="18"/>
        <v>78577478</v>
      </c>
      <c r="X108" s="43">
        <f t="shared" si="18"/>
        <v>14699248</v>
      </c>
      <c r="Y108" s="43">
        <f t="shared" si="18"/>
        <v>44735919</v>
      </c>
      <c r="Z108" s="43">
        <f t="shared" si="18"/>
        <v>135145649</v>
      </c>
      <c r="AA108" s="43">
        <f t="shared" si="18"/>
        <v>45690294</v>
      </c>
      <c r="AB108" s="43">
        <f t="shared" si="18"/>
        <v>25223827</v>
      </c>
      <c r="AC108" s="43">
        <f t="shared" si="18"/>
        <v>28374950</v>
      </c>
      <c r="AD108" s="43">
        <f t="shared" si="18"/>
        <v>107629465</v>
      </c>
      <c r="AE108" s="43">
        <f t="shared" si="18"/>
        <v>10245026</v>
      </c>
      <c r="AF108" s="43">
        <f t="shared" si="18"/>
        <v>23850322</v>
      </c>
      <c r="AG108" s="43">
        <f t="shared" si="18"/>
        <v>8985351</v>
      </c>
      <c r="AH108" s="43">
        <f t="shared" si="18"/>
        <v>83808706</v>
      </c>
      <c r="AI108" s="43">
        <f t="shared" si="18"/>
        <v>489419713</v>
      </c>
      <c r="AJ108" s="43">
        <f t="shared" si="18"/>
        <v>59578095</v>
      </c>
      <c r="AK108" s="43">
        <f t="shared" si="18"/>
        <v>10242910</v>
      </c>
      <c r="AL108" s="43">
        <f t="shared" si="18"/>
        <v>10563096</v>
      </c>
      <c r="AM108" s="43">
        <f t="shared" si="18"/>
        <v>21841189</v>
      </c>
      <c r="AN108" s="43">
        <f t="shared" si="18"/>
        <v>353077723</v>
      </c>
      <c r="AO108" s="43">
        <f t="shared" si="18"/>
        <v>0</v>
      </c>
      <c r="AP108" s="43">
        <f t="shared" si="18"/>
        <v>70868826</v>
      </c>
      <c r="AQ108" s="43">
        <f t="shared" si="18"/>
        <v>98730157</v>
      </c>
      <c r="AR108" s="43">
        <f t="shared" si="18"/>
        <v>36334645</v>
      </c>
      <c r="AS108" s="43">
        <f t="shared" si="18"/>
        <v>24784083</v>
      </c>
      <c r="AT108" s="43">
        <f t="shared" si="18"/>
        <v>13588494</v>
      </c>
      <c r="AU108" s="43">
        <f t="shared" si="18"/>
        <v>212694364</v>
      </c>
      <c r="AV108" s="43">
        <f t="shared" si="18"/>
        <v>91173968</v>
      </c>
      <c r="AW108" s="43">
        <f t="shared" si="18"/>
        <v>45086020</v>
      </c>
      <c r="AX108" s="43">
        <f t="shared" si="18"/>
        <v>25060856</v>
      </c>
      <c r="AY108" s="43">
        <f t="shared" si="18"/>
        <v>122951890</v>
      </c>
      <c r="AZ108" s="43">
        <f t="shared" si="18"/>
        <v>7681544</v>
      </c>
      <c r="BA108" s="43">
        <f t="shared" si="18"/>
        <v>32443356</v>
      </c>
      <c r="BB108" s="43">
        <f t="shared" si="18"/>
        <v>37201286</v>
      </c>
      <c r="BC108" s="43">
        <f t="shared" si="18"/>
        <v>48923707</v>
      </c>
      <c r="BD108" s="43">
        <f t="shared" si="18"/>
        <v>96143148</v>
      </c>
      <c r="BE108" s="43">
        <f t="shared" si="18"/>
        <v>139373298</v>
      </c>
      <c r="BF108" s="43">
        <f t="shared" si="18"/>
        <v>97858229</v>
      </c>
      <c r="BG108" s="43">
        <f t="shared" si="18"/>
        <v>244473475</v>
      </c>
      <c r="BH108" s="43">
        <f t="shared" si="18"/>
        <v>271765323</v>
      </c>
      <c r="BI108" s="43">
        <f t="shared" si="18"/>
        <v>19950266</v>
      </c>
      <c r="BJ108" s="43">
        <f t="shared" si="18"/>
        <v>39074821</v>
      </c>
      <c r="BK108" s="43">
        <f t="shared" si="18"/>
        <v>67917994</v>
      </c>
      <c r="BL108" s="43">
        <f t="shared" si="18"/>
        <v>31826574</v>
      </c>
      <c r="BM108" s="43">
        <f t="shared" si="18"/>
        <v>18043124</v>
      </c>
      <c r="BN108" s="43">
        <f t="shared" si="18"/>
        <v>180640172</v>
      </c>
      <c r="BO108" s="43">
        <f t="shared" si="18"/>
        <v>89165155</v>
      </c>
      <c r="BP108" s="43">
        <f t="shared" ref="BP108:CA108" si="19">SUM(BP69:BP106)</f>
        <v>71165828</v>
      </c>
      <c r="BQ108" s="43">
        <f t="shared" si="19"/>
        <v>105705175</v>
      </c>
      <c r="BR108" s="43">
        <f t="shared" si="19"/>
        <v>21389598</v>
      </c>
      <c r="BS108" s="43">
        <f t="shared" si="19"/>
        <v>38835922</v>
      </c>
      <c r="BT108" s="43">
        <f t="shared" si="19"/>
        <v>33763599</v>
      </c>
      <c r="BU108" s="43">
        <f t="shared" si="19"/>
        <v>64166052</v>
      </c>
      <c r="BV108" s="43">
        <f t="shared" si="19"/>
        <v>117088470</v>
      </c>
      <c r="BW108" s="43">
        <f t="shared" si="19"/>
        <v>117712288</v>
      </c>
      <c r="BX108" s="43">
        <f t="shared" si="19"/>
        <v>117924492</v>
      </c>
      <c r="BY108" s="43">
        <f t="shared" si="19"/>
        <v>108112200</v>
      </c>
      <c r="BZ108" s="43">
        <f t="shared" si="19"/>
        <v>10282135</v>
      </c>
      <c r="CA108" s="43">
        <f t="shared" si="19"/>
        <v>6349466302</v>
      </c>
    </row>
    <row r="109" spans="1:79" x14ac:dyDescent="0.25">
      <c r="A109" s="37" t="s">
        <v>771</v>
      </c>
      <c r="B109" s="37" t="s">
        <v>772</v>
      </c>
      <c r="AM109" s="44"/>
      <c r="CA109" s="44">
        <f t="shared" si="15"/>
        <v>0</v>
      </c>
    </row>
    <row r="110" spans="1:79" x14ac:dyDescent="0.25">
      <c r="A110" s="62" t="s">
        <v>773</v>
      </c>
      <c r="B110" s="58" t="s">
        <v>774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43">
        <v>100000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43">
        <v>18478</v>
      </c>
      <c r="AK110" s="37">
        <v>0</v>
      </c>
      <c r="AL110" s="37">
        <v>0</v>
      </c>
      <c r="AM110" s="44">
        <v>0</v>
      </c>
      <c r="AN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7">
        <v>0</v>
      </c>
      <c r="AW110" s="37">
        <v>0</v>
      </c>
      <c r="AX110" s="43">
        <v>13240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43">
        <v>639651</v>
      </c>
      <c r="BH110" s="37">
        <v>0</v>
      </c>
      <c r="BI110" s="37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7">
        <v>0</v>
      </c>
      <c r="BW110" s="37">
        <v>0</v>
      </c>
      <c r="BX110" s="37">
        <v>0</v>
      </c>
      <c r="BY110" s="37">
        <v>0</v>
      </c>
      <c r="BZ110" s="37">
        <v>0</v>
      </c>
      <c r="CA110" s="44">
        <f t="shared" si="15"/>
        <v>771369</v>
      </c>
    </row>
    <row r="111" spans="1:79" x14ac:dyDescent="0.25">
      <c r="A111" s="62" t="s">
        <v>775</v>
      </c>
      <c r="B111" s="58" t="s">
        <v>776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43">
        <v>1333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43">
        <v>319699</v>
      </c>
      <c r="R111" s="37">
        <v>0</v>
      </c>
      <c r="S111" s="37">
        <v>0</v>
      </c>
      <c r="T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43">
        <v>138674</v>
      </c>
      <c r="AJ111" s="37">
        <v>0</v>
      </c>
      <c r="AK111" s="37">
        <v>0</v>
      </c>
      <c r="AL111" s="37">
        <v>0</v>
      </c>
      <c r="AM111" s="44">
        <v>0</v>
      </c>
      <c r="AN111" s="37">
        <v>0</v>
      </c>
      <c r="AP111" s="37">
        <v>0</v>
      </c>
      <c r="AQ111" s="37">
        <v>0</v>
      </c>
      <c r="AR111" s="37">
        <v>0</v>
      </c>
      <c r="AS111" s="37">
        <v>0</v>
      </c>
      <c r="AT111" s="37">
        <v>0</v>
      </c>
      <c r="AU111" s="37">
        <v>0</v>
      </c>
      <c r="AV111" s="37">
        <v>0</v>
      </c>
      <c r="AW111" s="43">
        <v>4183</v>
      </c>
      <c r="AX111" s="37">
        <v>0</v>
      </c>
      <c r="AY111" s="37">
        <v>0</v>
      </c>
      <c r="AZ111" s="37">
        <v>0</v>
      </c>
      <c r="BA111" s="37">
        <v>0</v>
      </c>
      <c r="BB111" s="37">
        <v>0</v>
      </c>
      <c r="BC111" s="37">
        <v>0</v>
      </c>
      <c r="BD111" s="43">
        <v>11363</v>
      </c>
      <c r="BE111" s="37">
        <v>0</v>
      </c>
      <c r="BF111" s="37">
        <v>0</v>
      </c>
      <c r="BG111" s="37">
        <v>0</v>
      </c>
      <c r="BH111" s="37">
        <v>0</v>
      </c>
      <c r="BI111" s="37">
        <v>0</v>
      </c>
      <c r="BJ111" s="37">
        <v>0</v>
      </c>
      <c r="BK111" s="37">
        <v>739</v>
      </c>
      <c r="BL111" s="37">
        <v>0</v>
      </c>
      <c r="BM111" s="37">
        <v>0</v>
      </c>
      <c r="BN111" s="37">
        <v>0</v>
      </c>
      <c r="BO111" s="37">
        <v>0</v>
      </c>
      <c r="BP111" s="37">
        <v>0</v>
      </c>
      <c r="BQ111" s="43">
        <v>5949</v>
      </c>
      <c r="BR111" s="37">
        <v>0</v>
      </c>
      <c r="BS111" s="37">
        <v>0</v>
      </c>
      <c r="BT111" s="37">
        <v>0</v>
      </c>
      <c r="BU111" s="37">
        <v>0</v>
      </c>
      <c r="BV111" s="37">
        <v>0</v>
      </c>
      <c r="BW111" s="37">
        <v>0</v>
      </c>
      <c r="BX111" s="43">
        <v>199550</v>
      </c>
      <c r="BY111" s="37">
        <v>0</v>
      </c>
      <c r="BZ111" s="37">
        <v>0</v>
      </c>
      <c r="CA111" s="44">
        <f t="shared" si="15"/>
        <v>681490</v>
      </c>
    </row>
    <row r="112" spans="1:79" x14ac:dyDescent="0.25">
      <c r="A112" s="62" t="s">
        <v>777</v>
      </c>
      <c r="B112" s="58" t="s">
        <v>778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44">
        <v>0</v>
      </c>
      <c r="AN112" s="37">
        <v>0</v>
      </c>
      <c r="AP112" s="37">
        <v>0</v>
      </c>
      <c r="AQ112" s="37">
        <v>0</v>
      </c>
      <c r="AR112" s="37">
        <v>0</v>
      </c>
      <c r="AS112" s="37">
        <v>0</v>
      </c>
      <c r="AT112" s="37">
        <v>0</v>
      </c>
      <c r="AU112" s="37">
        <v>0</v>
      </c>
      <c r="AV112" s="37">
        <v>0</v>
      </c>
      <c r="AW112" s="37">
        <v>0</v>
      </c>
      <c r="AX112" s="37">
        <v>0</v>
      </c>
      <c r="AY112" s="37">
        <v>0</v>
      </c>
      <c r="AZ112" s="37">
        <v>0</v>
      </c>
      <c r="BA112" s="37">
        <v>0</v>
      </c>
      <c r="BB112" s="37">
        <v>0</v>
      </c>
      <c r="BC112" s="37">
        <v>0</v>
      </c>
      <c r="BD112" s="37">
        <v>0</v>
      </c>
      <c r="BE112" s="37">
        <v>0</v>
      </c>
      <c r="BF112" s="37">
        <v>0</v>
      </c>
      <c r="BG112" s="37">
        <v>0</v>
      </c>
      <c r="BH112" s="37">
        <v>0</v>
      </c>
      <c r="BI112" s="37">
        <v>0</v>
      </c>
      <c r="BJ112" s="37">
        <v>0</v>
      </c>
      <c r="BK112" s="37">
        <v>0</v>
      </c>
      <c r="BL112" s="37">
        <v>0</v>
      </c>
      <c r="BM112" s="37">
        <v>0</v>
      </c>
      <c r="BN112" s="37">
        <v>0</v>
      </c>
      <c r="BO112" s="37">
        <v>0</v>
      </c>
      <c r="BP112" s="37">
        <v>0</v>
      </c>
      <c r="BQ112" s="37">
        <v>0</v>
      </c>
      <c r="BR112" s="37">
        <v>0</v>
      </c>
      <c r="BS112" s="37">
        <v>0</v>
      </c>
      <c r="BT112" s="37">
        <v>0</v>
      </c>
      <c r="BU112" s="37">
        <v>0</v>
      </c>
      <c r="BV112" s="37">
        <v>0</v>
      </c>
      <c r="BW112" s="37">
        <v>0</v>
      </c>
      <c r="BX112" s="37">
        <v>0</v>
      </c>
      <c r="BY112" s="37">
        <v>0</v>
      </c>
      <c r="BZ112" s="37">
        <v>0</v>
      </c>
      <c r="CA112" s="44">
        <f t="shared" si="15"/>
        <v>0</v>
      </c>
    </row>
    <row r="113" spans="1:79" x14ac:dyDescent="0.25">
      <c r="A113" s="62" t="s">
        <v>779</v>
      </c>
      <c r="B113" s="58" t="s">
        <v>780</v>
      </c>
      <c r="C113" s="37">
        <v>0</v>
      </c>
      <c r="D113" s="43">
        <v>168133</v>
      </c>
      <c r="E113" s="37">
        <v>0</v>
      </c>
      <c r="F113" s="43">
        <v>2674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43">
        <v>829563</v>
      </c>
      <c r="O113" s="43">
        <v>497359</v>
      </c>
      <c r="P113" s="37">
        <v>0</v>
      </c>
      <c r="Q113" s="43">
        <v>12739179</v>
      </c>
      <c r="R113" s="37">
        <v>0</v>
      </c>
      <c r="S113" s="37">
        <v>0</v>
      </c>
      <c r="T113" s="37">
        <v>0</v>
      </c>
      <c r="V113" s="37">
        <v>0</v>
      </c>
      <c r="W113" s="37">
        <v>0</v>
      </c>
      <c r="X113" s="37">
        <v>0</v>
      </c>
      <c r="Y113" s="37">
        <v>631</v>
      </c>
      <c r="Z113" s="43">
        <v>3676187</v>
      </c>
      <c r="AA113" s="37">
        <v>0</v>
      </c>
      <c r="AB113" s="37">
        <v>0</v>
      </c>
      <c r="AC113" s="37">
        <v>0</v>
      </c>
      <c r="AD113" s="43">
        <v>2132039</v>
      </c>
      <c r="AE113" s="37">
        <v>0</v>
      </c>
      <c r="AF113" s="37">
        <v>0</v>
      </c>
      <c r="AG113" s="37">
        <v>0</v>
      </c>
      <c r="AH113" s="37">
        <v>0</v>
      </c>
      <c r="AI113" s="43">
        <v>55084</v>
      </c>
      <c r="AJ113" s="37">
        <v>0</v>
      </c>
      <c r="AK113" s="37">
        <v>0</v>
      </c>
      <c r="AL113" s="37">
        <v>0</v>
      </c>
      <c r="AM113" s="44">
        <v>0</v>
      </c>
      <c r="AN113" s="43">
        <v>1228322</v>
      </c>
      <c r="AP113" s="37">
        <v>0</v>
      </c>
      <c r="AQ113" s="43">
        <v>1220653</v>
      </c>
      <c r="AR113" s="37">
        <v>0</v>
      </c>
      <c r="AS113" s="37">
        <v>0</v>
      </c>
      <c r="AT113" s="37">
        <v>0</v>
      </c>
      <c r="AU113" s="37">
        <v>0</v>
      </c>
      <c r="AV113" s="37">
        <v>0</v>
      </c>
      <c r="AW113" s="37">
        <v>0</v>
      </c>
      <c r="AX113" s="43">
        <v>157144</v>
      </c>
      <c r="AY113" s="37">
        <v>0</v>
      </c>
      <c r="AZ113" s="43">
        <v>72870</v>
      </c>
      <c r="BA113" s="37">
        <v>0</v>
      </c>
      <c r="BB113" s="37">
        <v>0</v>
      </c>
      <c r="BC113" s="37">
        <v>0</v>
      </c>
      <c r="BD113" s="37">
        <v>537</v>
      </c>
      <c r="BE113" s="37">
        <v>0</v>
      </c>
      <c r="BF113" s="37">
        <v>0</v>
      </c>
      <c r="BG113" s="37">
        <v>0</v>
      </c>
      <c r="BH113" s="37">
        <v>79</v>
      </c>
      <c r="BI113" s="37">
        <v>0</v>
      </c>
      <c r="BJ113" s="37">
        <v>0</v>
      </c>
      <c r="BK113" s="37">
        <v>0</v>
      </c>
      <c r="BL113" s="43">
        <v>56560</v>
      </c>
      <c r="BM113" s="37">
        <v>0</v>
      </c>
      <c r="BN113" s="43">
        <v>279055</v>
      </c>
      <c r="BO113" s="37">
        <v>0</v>
      </c>
      <c r="BP113" s="37">
        <v>0</v>
      </c>
      <c r="BQ113" s="43">
        <v>42299</v>
      </c>
      <c r="BR113" s="37">
        <v>0</v>
      </c>
      <c r="BS113" s="37">
        <v>0</v>
      </c>
      <c r="BT113" s="37">
        <v>0</v>
      </c>
      <c r="BU113" s="37">
        <v>0</v>
      </c>
      <c r="BV113" s="37">
        <v>0</v>
      </c>
      <c r="BW113" s="43">
        <v>502471</v>
      </c>
      <c r="BX113" s="37">
        <v>126</v>
      </c>
      <c r="BY113" s="43">
        <v>318427</v>
      </c>
      <c r="BZ113" s="37">
        <v>0</v>
      </c>
      <c r="CA113" s="44">
        <f t="shared" si="15"/>
        <v>23979392</v>
      </c>
    </row>
    <row r="114" spans="1:79" x14ac:dyDescent="0.25">
      <c r="A114" s="62" t="s">
        <v>781</v>
      </c>
      <c r="B114" s="58" t="s">
        <v>782</v>
      </c>
      <c r="C114" s="37">
        <v>0</v>
      </c>
      <c r="D114" s="37">
        <v>0</v>
      </c>
      <c r="E114" s="37">
        <v>0</v>
      </c>
      <c r="F114" s="37">
        <v>498</v>
      </c>
      <c r="G114" s="37">
        <v>0</v>
      </c>
      <c r="H114" s="43">
        <v>8228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43">
        <v>7872</v>
      </c>
      <c r="O114" s="43">
        <v>42277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V114" s="37">
        <v>0</v>
      </c>
      <c r="W114" s="37">
        <v>0</v>
      </c>
      <c r="X114" s="37">
        <v>0</v>
      </c>
      <c r="Y114" s="43">
        <v>6801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43">
        <v>17723</v>
      </c>
      <c r="AK114" s="37">
        <v>0</v>
      </c>
      <c r="AL114" s="37">
        <v>0</v>
      </c>
      <c r="AM114" s="44">
        <v>17748</v>
      </c>
      <c r="AN114" s="37">
        <v>0</v>
      </c>
      <c r="AP114" s="37">
        <v>752</v>
      </c>
      <c r="AQ114" s="37">
        <v>0</v>
      </c>
      <c r="AR114" s="37">
        <v>0</v>
      </c>
      <c r="AS114" s="37">
        <v>330</v>
      </c>
      <c r="AT114" s="43">
        <v>21405</v>
      </c>
      <c r="AU114" s="37">
        <v>0</v>
      </c>
      <c r="AV114" s="37">
        <v>0</v>
      </c>
      <c r="AW114" s="37">
        <v>0</v>
      </c>
      <c r="AX114" s="37">
        <v>0</v>
      </c>
      <c r="AY114" s="43">
        <v>74317</v>
      </c>
      <c r="AZ114" s="37">
        <v>0</v>
      </c>
      <c r="BA114" s="37">
        <v>740</v>
      </c>
      <c r="BB114" s="37">
        <v>0</v>
      </c>
      <c r="BC114" s="37">
        <v>0</v>
      </c>
      <c r="BD114" s="37">
        <v>0</v>
      </c>
      <c r="BE114" s="43">
        <v>1632</v>
      </c>
      <c r="BF114" s="37">
        <v>0</v>
      </c>
      <c r="BG114" s="37">
        <v>0</v>
      </c>
      <c r="BH114" s="43">
        <v>145259</v>
      </c>
      <c r="BI114" s="37">
        <v>0</v>
      </c>
      <c r="BJ114" s="43">
        <v>1992</v>
      </c>
      <c r="BK114" s="37">
        <v>0</v>
      </c>
      <c r="BL114" s="37">
        <v>0</v>
      </c>
      <c r="BM114" s="37">
        <v>0</v>
      </c>
      <c r="BN114" s="43">
        <v>26235</v>
      </c>
      <c r="BO114" s="37">
        <v>0</v>
      </c>
      <c r="BP114" s="37">
        <v>0</v>
      </c>
      <c r="BQ114" s="37">
        <v>0</v>
      </c>
      <c r="BR114" s="37">
        <v>0</v>
      </c>
      <c r="BS114" s="37">
        <v>0</v>
      </c>
      <c r="BT114" s="37">
        <v>0</v>
      </c>
      <c r="BU114" s="37">
        <v>0</v>
      </c>
      <c r="BV114" s="37">
        <v>0</v>
      </c>
      <c r="BW114" s="43">
        <v>5191</v>
      </c>
      <c r="BX114" s="37">
        <v>0</v>
      </c>
      <c r="BY114" s="37">
        <v>0</v>
      </c>
      <c r="BZ114" s="37">
        <v>0</v>
      </c>
      <c r="CA114" s="44">
        <f t="shared" si="15"/>
        <v>379000</v>
      </c>
    </row>
    <row r="115" spans="1:79" x14ac:dyDescent="0.25">
      <c r="A115" s="62" t="s">
        <v>783</v>
      </c>
      <c r="B115" s="58" t="s">
        <v>784</v>
      </c>
      <c r="C115" s="37">
        <v>0</v>
      </c>
      <c r="D115" s="43">
        <v>69989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43">
        <v>38249</v>
      </c>
      <c r="K115" s="37">
        <v>0</v>
      </c>
      <c r="L115" s="37">
        <v>0</v>
      </c>
      <c r="M115" s="37">
        <v>0</v>
      </c>
      <c r="N115" s="43">
        <v>40913</v>
      </c>
      <c r="O115" s="43">
        <v>32694</v>
      </c>
      <c r="P115" s="37">
        <v>0</v>
      </c>
      <c r="Q115" s="43">
        <v>76598</v>
      </c>
      <c r="R115" s="37">
        <v>0</v>
      </c>
      <c r="S115" s="43">
        <v>240982</v>
      </c>
      <c r="T115" s="37">
        <v>0</v>
      </c>
      <c r="V115" s="37">
        <v>0</v>
      </c>
      <c r="W115" s="37">
        <v>0</v>
      </c>
      <c r="X115" s="37">
        <v>0</v>
      </c>
      <c r="Y115" s="37">
        <v>0</v>
      </c>
      <c r="Z115" s="43">
        <v>19239</v>
      </c>
      <c r="AA115" s="43">
        <v>34351</v>
      </c>
      <c r="AB115" s="43">
        <v>4977</v>
      </c>
      <c r="AC115" s="43">
        <v>13131</v>
      </c>
      <c r="AD115" s="43">
        <v>30112</v>
      </c>
      <c r="AE115" s="37">
        <v>0</v>
      </c>
      <c r="AF115" s="37">
        <v>0</v>
      </c>
      <c r="AG115" s="37">
        <v>0</v>
      </c>
      <c r="AH115" s="43">
        <v>18239</v>
      </c>
      <c r="AI115" s="43">
        <v>229608</v>
      </c>
      <c r="AJ115" s="37">
        <v>0</v>
      </c>
      <c r="AK115" s="37">
        <v>0</v>
      </c>
      <c r="AL115" s="37">
        <v>0</v>
      </c>
      <c r="AM115" s="44">
        <v>0</v>
      </c>
      <c r="AN115" s="43">
        <v>546401</v>
      </c>
      <c r="AP115" s="43">
        <v>2430</v>
      </c>
      <c r="AQ115" s="37">
        <v>0</v>
      </c>
      <c r="AR115" s="43">
        <v>6691</v>
      </c>
      <c r="AS115" s="37">
        <v>0</v>
      </c>
      <c r="AT115" s="37">
        <v>0</v>
      </c>
      <c r="AU115" s="43">
        <v>11719</v>
      </c>
      <c r="AV115" s="43">
        <v>3071</v>
      </c>
      <c r="AW115" s="37">
        <v>0</v>
      </c>
      <c r="AX115" s="37">
        <v>0</v>
      </c>
      <c r="AY115" s="37">
        <v>0</v>
      </c>
      <c r="AZ115" s="37">
        <v>0</v>
      </c>
      <c r="BA115" s="43">
        <v>76793</v>
      </c>
      <c r="BB115" s="37">
        <v>0</v>
      </c>
      <c r="BC115" s="37">
        <v>0</v>
      </c>
      <c r="BD115" s="43">
        <v>3003</v>
      </c>
      <c r="BE115" s="37">
        <v>0</v>
      </c>
      <c r="BF115" s="43">
        <v>9545</v>
      </c>
      <c r="BG115" s="43">
        <v>74934</v>
      </c>
      <c r="BH115" s="43">
        <v>32227</v>
      </c>
      <c r="BI115" s="37">
        <v>0</v>
      </c>
      <c r="BJ115" s="37">
        <v>0</v>
      </c>
      <c r="BK115" s="37">
        <v>0</v>
      </c>
      <c r="BL115" s="37">
        <v>0</v>
      </c>
      <c r="BM115" s="37">
        <v>0</v>
      </c>
      <c r="BN115" s="37">
        <v>0</v>
      </c>
      <c r="BO115" s="37">
        <v>0</v>
      </c>
      <c r="BP115" s="43">
        <v>23006</v>
      </c>
      <c r="BQ115" s="43">
        <v>22748</v>
      </c>
      <c r="BR115" s="37">
        <v>0</v>
      </c>
      <c r="BS115" s="37">
        <v>0</v>
      </c>
      <c r="BT115" s="37">
        <v>0</v>
      </c>
      <c r="BU115" s="37">
        <v>0</v>
      </c>
      <c r="BV115" s="43">
        <v>11592</v>
      </c>
      <c r="BW115" s="37">
        <v>553</v>
      </c>
      <c r="BX115" s="37">
        <v>0</v>
      </c>
      <c r="BY115" s="37">
        <v>0</v>
      </c>
      <c r="BZ115" s="37">
        <v>0</v>
      </c>
      <c r="CA115" s="44">
        <f t="shared" si="15"/>
        <v>1673795</v>
      </c>
    </row>
    <row r="116" spans="1:79" x14ac:dyDescent="0.25">
      <c r="A116" s="62" t="s">
        <v>785</v>
      </c>
      <c r="B116" s="58" t="s">
        <v>786</v>
      </c>
      <c r="C116" s="37">
        <v>0</v>
      </c>
      <c r="D116" s="37">
        <v>0</v>
      </c>
      <c r="E116" s="37">
        <v>0</v>
      </c>
      <c r="F116" s="37">
        <v>237</v>
      </c>
      <c r="G116" s="37">
        <v>0</v>
      </c>
      <c r="H116" s="43">
        <v>48765</v>
      </c>
      <c r="I116" s="43">
        <v>1140</v>
      </c>
      <c r="J116" s="43">
        <v>471149</v>
      </c>
      <c r="K116" s="37">
        <v>0</v>
      </c>
      <c r="L116" s="37">
        <v>0</v>
      </c>
      <c r="M116" s="43">
        <v>9172</v>
      </c>
      <c r="N116" s="43">
        <v>13384</v>
      </c>
      <c r="O116" s="43">
        <v>1411</v>
      </c>
      <c r="P116" s="37">
        <v>0</v>
      </c>
      <c r="Q116" s="43">
        <v>1297284</v>
      </c>
      <c r="R116" s="37">
        <v>0</v>
      </c>
      <c r="S116" s="43">
        <v>22500</v>
      </c>
      <c r="T116" s="43">
        <v>612944</v>
      </c>
      <c r="V116" s="37">
        <v>0</v>
      </c>
      <c r="W116" s="37">
        <v>0</v>
      </c>
      <c r="X116" s="37">
        <v>501</v>
      </c>
      <c r="Y116" s="37">
        <v>0</v>
      </c>
      <c r="Z116" s="37">
        <v>0</v>
      </c>
      <c r="AA116" s="37">
        <v>0</v>
      </c>
      <c r="AB116" s="37">
        <v>100</v>
      </c>
      <c r="AC116" s="43">
        <v>182985</v>
      </c>
      <c r="AD116" s="43">
        <v>3500</v>
      </c>
      <c r="AE116" s="37">
        <v>0</v>
      </c>
      <c r="AF116" s="43">
        <v>63677</v>
      </c>
      <c r="AG116" s="37">
        <v>0</v>
      </c>
      <c r="AH116" s="43">
        <v>143109</v>
      </c>
      <c r="AI116" s="43">
        <v>1410219</v>
      </c>
      <c r="AJ116" s="37">
        <v>0</v>
      </c>
      <c r="AK116" s="43">
        <v>34160</v>
      </c>
      <c r="AL116" s="37">
        <v>0</v>
      </c>
      <c r="AM116" s="44">
        <v>0</v>
      </c>
      <c r="AN116" s="37">
        <v>0</v>
      </c>
      <c r="AP116" s="43">
        <v>89160</v>
      </c>
      <c r="AQ116" s="43">
        <v>860160</v>
      </c>
      <c r="AR116" s="37">
        <v>0</v>
      </c>
      <c r="AS116" s="37">
        <v>0</v>
      </c>
      <c r="AT116" s="43">
        <v>12741</v>
      </c>
      <c r="AU116" s="43">
        <v>21885</v>
      </c>
      <c r="AV116" s="37">
        <v>0</v>
      </c>
      <c r="AW116" s="43">
        <v>61859</v>
      </c>
      <c r="AX116" s="37">
        <v>475</v>
      </c>
      <c r="AY116" s="37">
        <v>0</v>
      </c>
      <c r="AZ116" s="37">
        <v>987</v>
      </c>
      <c r="BA116" s="37">
        <v>300</v>
      </c>
      <c r="BB116" s="43">
        <v>6923</v>
      </c>
      <c r="BC116" s="43">
        <v>12697</v>
      </c>
      <c r="BD116" s="43">
        <v>150000</v>
      </c>
      <c r="BE116" s="43">
        <v>70051</v>
      </c>
      <c r="BF116" s="43">
        <v>14945</v>
      </c>
      <c r="BG116" s="37">
        <v>0</v>
      </c>
      <c r="BH116" s="43">
        <v>514372</v>
      </c>
      <c r="BI116" s="37">
        <v>0</v>
      </c>
      <c r="BJ116" s="43">
        <v>7042</v>
      </c>
      <c r="BK116" s="43">
        <v>7957</v>
      </c>
      <c r="BL116" s="37">
        <v>0</v>
      </c>
      <c r="BM116" s="37">
        <v>0</v>
      </c>
      <c r="BN116" s="43">
        <v>56539</v>
      </c>
      <c r="BO116" s="43">
        <v>3735</v>
      </c>
      <c r="BP116" s="43">
        <v>48562</v>
      </c>
      <c r="BQ116" s="37">
        <v>0</v>
      </c>
      <c r="BR116" s="37">
        <v>0</v>
      </c>
      <c r="BS116" s="43">
        <v>101350</v>
      </c>
      <c r="BT116" s="37">
        <v>0</v>
      </c>
      <c r="BU116" s="37">
        <v>0</v>
      </c>
      <c r="BV116" s="43">
        <v>141658</v>
      </c>
      <c r="BW116" s="43">
        <v>228783</v>
      </c>
      <c r="BX116" s="43">
        <v>171194</v>
      </c>
      <c r="BY116" s="43">
        <v>21434</v>
      </c>
      <c r="BZ116" s="37">
        <v>0</v>
      </c>
      <c r="CA116" s="44">
        <f t="shared" si="15"/>
        <v>6921046</v>
      </c>
    </row>
    <row r="117" spans="1:79" x14ac:dyDescent="0.25">
      <c r="A117" s="37" t="s">
        <v>688</v>
      </c>
      <c r="B117" s="37" t="s">
        <v>787</v>
      </c>
      <c r="C117" s="44">
        <f>SUM(C110:C116)</f>
        <v>0</v>
      </c>
      <c r="D117" s="44">
        <f t="shared" ref="D117:BO117" si="20">SUM(D110:D116)</f>
        <v>238122</v>
      </c>
      <c r="E117" s="44">
        <f t="shared" si="20"/>
        <v>0</v>
      </c>
      <c r="F117" s="44">
        <f t="shared" si="20"/>
        <v>3409</v>
      </c>
      <c r="G117" s="44">
        <f t="shared" si="20"/>
        <v>0</v>
      </c>
      <c r="H117" s="44">
        <f t="shared" si="20"/>
        <v>56993</v>
      </c>
      <c r="I117" s="44">
        <f t="shared" si="20"/>
        <v>2473</v>
      </c>
      <c r="J117" s="44">
        <f t="shared" si="20"/>
        <v>509398</v>
      </c>
      <c r="K117" s="44">
        <f t="shared" si="20"/>
        <v>0</v>
      </c>
      <c r="L117" s="44">
        <f t="shared" si="20"/>
        <v>0</v>
      </c>
      <c r="M117" s="44">
        <f t="shared" si="20"/>
        <v>9172</v>
      </c>
      <c r="N117" s="44">
        <f t="shared" si="20"/>
        <v>891732</v>
      </c>
      <c r="O117" s="44">
        <f t="shared" si="20"/>
        <v>673741</v>
      </c>
      <c r="P117" s="44">
        <f t="shared" si="20"/>
        <v>0</v>
      </c>
      <c r="Q117" s="44">
        <f t="shared" si="20"/>
        <v>14432760</v>
      </c>
      <c r="R117" s="44">
        <f t="shared" si="20"/>
        <v>0</v>
      </c>
      <c r="S117" s="44">
        <f t="shared" si="20"/>
        <v>263482</v>
      </c>
      <c r="T117" s="44">
        <f t="shared" si="20"/>
        <v>612944</v>
      </c>
      <c r="U117" s="44">
        <f t="shared" si="20"/>
        <v>0</v>
      </c>
      <c r="V117" s="44">
        <f t="shared" si="20"/>
        <v>0</v>
      </c>
      <c r="W117" s="44">
        <f t="shared" si="20"/>
        <v>0</v>
      </c>
      <c r="X117" s="44">
        <f t="shared" si="20"/>
        <v>501</v>
      </c>
      <c r="Y117" s="44">
        <f t="shared" si="20"/>
        <v>7432</v>
      </c>
      <c r="Z117" s="44">
        <f t="shared" si="20"/>
        <v>3695426</v>
      </c>
      <c r="AA117" s="44">
        <f t="shared" si="20"/>
        <v>34351</v>
      </c>
      <c r="AB117" s="44">
        <f t="shared" si="20"/>
        <v>5077</v>
      </c>
      <c r="AC117" s="44">
        <f t="shared" si="20"/>
        <v>196116</v>
      </c>
      <c r="AD117" s="44">
        <f t="shared" si="20"/>
        <v>2165651</v>
      </c>
      <c r="AE117" s="44">
        <f t="shared" si="20"/>
        <v>0</v>
      </c>
      <c r="AF117" s="44">
        <f t="shared" si="20"/>
        <v>63677</v>
      </c>
      <c r="AG117" s="44">
        <f t="shared" si="20"/>
        <v>0</v>
      </c>
      <c r="AH117" s="44">
        <f t="shared" si="20"/>
        <v>161348</v>
      </c>
      <c r="AI117" s="44">
        <f t="shared" si="20"/>
        <v>1833585</v>
      </c>
      <c r="AJ117" s="44">
        <f t="shared" si="20"/>
        <v>36201</v>
      </c>
      <c r="AK117" s="44">
        <f t="shared" si="20"/>
        <v>34160</v>
      </c>
      <c r="AL117" s="44">
        <f t="shared" si="20"/>
        <v>0</v>
      </c>
      <c r="AM117" s="44">
        <f t="shared" si="20"/>
        <v>17748</v>
      </c>
      <c r="AN117" s="44">
        <f t="shared" si="20"/>
        <v>1774723</v>
      </c>
      <c r="AO117" s="44">
        <f t="shared" si="20"/>
        <v>0</v>
      </c>
      <c r="AP117" s="44">
        <f t="shared" si="20"/>
        <v>92342</v>
      </c>
      <c r="AQ117" s="44">
        <f t="shared" si="20"/>
        <v>2080813</v>
      </c>
      <c r="AR117" s="44">
        <f t="shared" si="20"/>
        <v>6691</v>
      </c>
      <c r="AS117" s="44">
        <f t="shared" si="20"/>
        <v>330</v>
      </c>
      <c r="AT117" s="44">
        <f t="shared" si="20"/>
        <v>34146</v>
      </c>
      <c r="AU117" s="44">
        <f t="shared" si="20"/>
        <v>33604</v>
      </c>
      <c r="AV117" s="44">
        <f t="shared" si="20"/>
        <v>3071</v>
      </c>
      <c r="AW117" s="44">
        <f t="shared" si="20"/>
        <v>66042</v>
      </c>
      <c r="AX117" s="44">
        <f t="shared" si="20"/>
        <v>170859</v>
      </c>
      <c r="AY117" s="44">
        <f t="shared" si="20"/>
        <v>74317</v>
      </c>
      <c r="AZ117" s="44">
        <f t="shared" si="20"/>
        <v>73857</v>
      </c>
      <c r="BA117" s="44">
        <f t="shared" si="20"/>
        <v>77833</v>
      </c>
      <c r="BB117" s="44">
        <f t="shared" si="20"/>
        <v>6923</v>
      </c>
      <c r="BC117" s="44">
        <f t="shared" si="20"/>
        <v>12697</v>
      </c>
      <c r="BD117" s="44">
        <f t="shared" si="20"/>
        <v>164903</v>
      </c>
      <c r="BE117" s="44">
        <f t="shared" si="20"/>
        <v>71683</v>
      </c>
      <c r="BF117" s="44">
        <f t="shared" si="20"/>
        <v>24490</v>
      </c>
      <c r="BG117" s="44">
        <f t="shared" si="20"/>
        <v>714585</v>
      </c>
      <c r="BH117" s="44">
        <f t="shared" si="20"/>
        <v>691937</v>
      </c>
      <c r="BI117" s="44">
        <f t="shared" si="20"/>
        <v>0</v>
      </c>
      <c r="BJ117" s="44">
        <f t="shared" si="20"/>
        <v>9034</v>
      </c>
      <c r="BK117" s="44">
        <f t="shared" si="20"/>
        <v>8696</v>
      </c>
      <c r="BL117" s="44">
        <f t="shared" si="20"/>
        <v>56560</v>
      </c>
      <c r="BM117" s="44">
        <f t="shared" si="20"/>
        <v>0</v>
      </c>
      <c r="BN117" s="44">
        <f t="shared" si="20"/>
        <v>361829</v>
      </c>
      <c r="BO117" s="44">
        <f t="shared" si="20"/>
        <v>3735</v>
      </c>
      <c r="BP117" s="44">
        <f t="shared" ref="BP117:CA117" si="21">SUM(BP110:BP116)</f>
        <v>71568</v>
      </c>
      <c r="BQ117" s="44">
        <f t="shared" si="21"/>
        <v>70996</v>
      </c>
      <c r="BR117" s="44">
        <f t="shared" si="21"/>
        <v>0</v>
      </c>
      <c r="BS117" s="44">
        <f t="shared" si="21"/>
        <v>101350</v>
      </c>
      <c r="BT117" s="44">
        <f t="shared" si="21"/>
        <v>0</v>
      </c>
      <c r="BU117" s="44">
        <f t="shared" si="21"/>
        <v>0</v>
      </c>
      <c r="BV117" s="44">
        <f t="shared" si="21"/>
        <v>153250</v>
      </c>
      <c r="BW117" s="44">
        <f t="shared" si="21"/>
        <v>736998</v>
      </c>
      <c r="BX117" s="44">
        <f t="shared" si="21"/>
        <v>370870</v>
      </c>
      <c r="BY117" s="44">
        <f t="shared" si="21"/>
        <v>339861</v>
      </c>
      <c r="BZ117" s="44">
        <f t="shared" si="21"/>
        <v>0</v>
      </c>
      <c r="CA117" s="44">
        <f t="shared" si="21"/>
        <v>34406092</v>
      </c>
    </row>
    <row r="118" spans="1:79" x14ac:dyDescent="0.25">
      <c r="A118" s="37" t="s">
        <v>788</v>
      </c>
      <c r="B118" s="37" t="s">
        <v>789</v>
      </c>
      <c r="AM118" s="44"/>
      <c r="CA118" s="44">
        <f t="shared" si="15"/>
        <v>0</v>
      </c>
    </row>
    <row r="119" spans="1:79" x14ac:dyDescent="0.25">
      <c r="A119" s="60" t="s">
        <v>790</v>
      </c>
      <c r="B119" s="60" t="s">
        <v>791</v>
      </c>
      <c r="AM119" s="44"/>
      <c r="CA119" s="44">
        <f t="shared" si="15"/>
        <v>0</v>
      </c>
    </row>
    <row r="120" spans="1:79" x14ac:dyDescent="0.25">
      <c r="A120" s="52" t="s">
        <v>792</v>
      </c>
      <c r="B120" s="52" t="s">
        <v>793</v>
      </c>
      <c r="C120" s="37">
        <v>0</v>
      </c>
      <c r="D120" s="43">
        <v>48000</v>
      </c>
      <c r="E120" s="43">
        <v>39703</v>
      </c>
      <c r="F120" s="37">
        <v>0</v>
      </c>
      <c r="G120" s="37">
        <v>0</v>
      </c>
      <c r="H120" s="37">
        <v>0</v>
      </c>
      <c r="I120" s="43">
        <v>80151</v>
      </c>
      <c r="J120" s="37">
        <v>0</v>
      </c>
      <c r="K120" s="43">
        <v>28825</v>
      </c>
      <c r="L120" s="37">
        <v>0</v>
      </c>
      <c r="M120" s="43">
        <v>8147</v>
      </c>
      <c r="N120" s="43">
        <v>178278</v>
      </c>
      <c r="O120" s="37">
        <v>0</v>
      </c>
      <c r="P120" s="43">
        <v>22390</v>
      </c>
      <c r="Q120" s="43">
        <v>440998</v>
      </c>
      <c r="R120" s="43">
        <v>71091</v>
      </c>
      <c r="S120" s="43">
        <v>25677</v>
      </c>
      <c r="T120" s="43">
        <v>62218</v>
      </c>
      <c r="V120" s="43">
        <v>95825</v>
      </c>
      <c r="W120" s="43">
        <v>619396</v>
      </c>
      <c r="X120" s="37">
        <v>0</v>
      </c>
      <c r="Y120" s="37">
        <v>0</v>
      </c>
      <c r="Z120" s="43">
        <v>117674</v>
      </c>
      <c r="AA120" s="37">
        <v>0</v>
      </c>
      <c r="AB120" s="43">
        <v>19792</v>
      </c>
      <c r="AC120" s="37">
        <v>0</v>
      </c>
      <c r="AD120" s="43">
        <v>11000</v>
      </c>
      <c r="AE120" s="37">
        <v>0</v>
      </c>
      <c r="AF120" s="37">
        <v>0</v>
      </c>
      <c r="AG120" s="37">
        <v>0</v>
      </c>
      <c r="AH120" s="43">
        <v>68863</v>
      </c>
      <c r="AI120" s="43">
        <v>708656</v>
      </c>
      <c r="AJ120" s="43">
        <v>11816</v>
      </c>
      <c r="AK120" s="37">
        <v>0</v>
      </c>
      <c r="AL120" s="37">
        <v>0</v>
      </c>
      <c r="AM120" s="44">
        <v>0</v>
      </c>
      <c r="AN120" s="37">
        <v>0</v>
      </c>
      <c r="AP120" s="37">
        <v>0</v>
      </c>
      <c r="AQ120" s="43">
        <v>139915</v>
      </c>
      <c r="AR120" s="37">
        <v>0</v>
      </c>
      <c r="AS120" s="37">
        <v>0</v>
      </c>
      <c r="AT120" s="37">
        <v>0</v>
      </c>
      <c r="AU120" s="43">
        <v>180369</v>
      </c>
      <c r="AV120" s="37">
        <v>0</v>
      </c>
      <c r="AW120" s="43">
        <v>3000</v>
      </c>
      <c r="AX120" s="37">
        <v>0</v>
      </c>
      <c r="AY120" s="43">
        <v>82283</v>
      </c>
      <c r="AZ120" s="43">
        <v>42451</v>
      </c>
      <c r="BA120" s="43">
        <v>75405</v>
      </c>
      <c r="BB120" s="43">
        <v>23447</v>
      </c>
      <c r="BC120" s="43">
        <v>99780</v>
      </c>
      <c r="BD120" s="43">
        <v>14226</v>
      </c>
      <c r="BE120" s="43">
        <v>93240</v>
      </c>
      <c r="BF120" s="43">
        <v>26212</v>
      </c>
      <c r="BG120" s="37">
        <v>0</v>
      </c>
      <c r="BH120" s="37">
        <v>0</v>
      </c>
      <c r="BI120" s="37">
        <v>0</v>
      </c>
      <c r="BJ120" s="37">
        <v>0</v>
      </c>
      <c r="BK120" s="43">
        <v>162688</v>
      </c>
      <c r="BL120" s="43">
        <v>10084</v>
      </c>
      <c r="BM120" s="43">
        <v>41191</v>
      </c>
      <c r="BN120" s="37">
        <v>0</v>
      </c>
      <c r="BO120" s="43">
        <v>166882</v>
      </c>
      <c r="BP120" s="37">
        <v>0</v>
      </c>
      <c r="BQ120" s="37">
        <v>0</v>
      </c>
      <c r="BR120" s="43">
        <v>1289</v>
      </c>
      <c r="BS120" s="43">
        <v>45210</v>
      </c>
      <c r="BT120" s="43">
        <v>68791</v>
      </c>
      <c r="BU120" s="37">
        <v>0</v>
      </c>
      <c r="BV120" s="43">
        <v>67443</v>
      </c>
      <c r="BW120" s="43">
        <v>109477</v>
      </c>
      <c r="BX120" s="43">
        <v>84538</v>
      </c>
      <c r="BY120" s="37">
        <v>0</v>
      </c>
      <c r="BZ120" s="37">
        <v>0</v>
      </c>
      <c r="CA120" s="44">
        <f t="shared" si="15"/>
        <v>4196421</v>
      </c>
    </row>
    <row r="121" spans="1:79" x14ac:dyDescent="0.25">
      <c r="A121" s="60" t="s">
        <v>794</v>
      </c>
      <c r="B121" s="60" t="s">
        <v>795</v>
      </c>
      <c r="C121" s="37">
        <v>0</v>
      </c>
      <c r="D121" s="43">
        <v>228005</v>
      </c>
      <c r="E121" s="37">
        <v>350</v>
      </c>
      <c r="F121" s="43">
        <v>749353</v>
      </c>
      <c r="G121" s="43">
        <v>12400</v>
      </c>
      <c r="H121" s="37">
        <v>0</v>
      </c>
      <c r="I121" s="37">
        <v>0</v>
      </c>
      <c r="J121" s="43">
        <v>48561</v>
      </c>
      <c r="K121" s="43">
        <v>2789</v>
      </c>
      <c r="L121" s="43">
        <v>5000</v>
      </c>
      <c r="M121" s="37">
        <v>0</v>
      </c>
      <c r="N121" s="43">
        <v>143243</v>
      </c>
      <c r="O121" s="43">
        <v>534722</v>
      </c>
      <c r="P121" s="37">
        <v>0</v>
      </c>
      <c r="Q121" s="43">
        <v>715068</v>
      </c>
      <c r="R121" s="43">
        <v>28877</v>
      </c>
      <c r="S121" s="37">
        <v>0</v>
      </c>
      <c r="T121" s="37">
        <v>0</v>
      </c>
      <c r="V121" s="37">
        <v>0</v>
      </c>
      <c r="W121" s="43">
        <v>4104790</v>
      </c>
      <c r="X121" s="43">
        <v>64345</v>
      </c>
      <c r="Y121" s="43">
        <v>774004</v>
      </c>
      <c r="Z121" s="37">
        <v>0</v>
      </c>
      <c r="AA121" s="43">
        <v>83510</v>
      </c>
      <c r="AB121" s="43">
        <v>38116</v>
      </c>
      <c r="AC121" s="43">
        <v>734315</v>
      </c>
      <c r="AD121" s="37">
        <v>0</v>
      </c>
      <c r="AE121" s="37">
        <v>0</v>
      </c>
      <c r="AF121" s="43">
        <v>19334</v>
      </c>
      <c r="AG121" s="37">
        <v>0</v>
      </c>
      <c r="AH121" s="37">
        <v>0</v>
      </c>
      <c r="AI121" s="43">
        <v>128715</v>
      </c>
      <c r="AJ121" s="43">
        <v>533141</v>
      </c>
      <c r="AK121" s="43">
        <v>8198</v>
      </c>
      <c r="AL121" s="43">
        <v>54660</v>
      </c>
      <c r="AM121" s="44">
        <v>0</v>
      </c>
      <c r="AN121" s="43">
        <v>118110</v>
      </c>
      <c r="AP121" s="43">
        <v>72650</v>
      </c>
      <c r="AQ121" s="43">
        <v>431662</v>
      </c>
      <c r="AR121" s="37">
        <v>0</v>
      </c>
      <c r="AS121" s="43">
        <v>92000</v>
      </c>
      <c r="AT121" s="37">
        <v>0</v>
      </c>
      <c r="AU121" s="37">
        <v>0</v>
      </c>
      <c r="AV121" s="43">
        <v>14778</v>
      </c>
      <c r="AW121" s="37">
        <v>0</v>
      </c>
      <c r="AX121" s="37">
        <v>0</v>
      </c>
      <c r="AY121" s="43">
        <v>106940</v>
      </c>
      <c r="AZ121" s="37">
        <v>684</v>
      </c>
      <c r="BA121" s="43">
        <v>23347</v>
      </c>
      <c r="BB121" s="37">
        <v>0</v>
      </c>
      <c r="BC121" s="43">
        <v>32330</v>
      </c>
      <c r="BD121" s="43">
        <v>30018</v>
      </c>
      <c r="BE121" s="43">
        <v>8332</v>
      </c>
      <c r="BF121" s="43">
        <v>61799</v>
      </c>
      <c r="BG121" s="43">
        <v>25259</v>
      </c>
      <c r="BH121" s="43">
        <v>1568394</v>
      </c>
      <c r="BI121" s="43">
        <v>3665</v>
      </c>
      <c r="BJ121" s="43">
        <v>144036</v>
      </c>
      <c r="BK121" s="43">
        <v>2907621</v>
      </c>
      <c r="BL121" s="43">
        <v>180990</v>
      </c>
      <c r="BM121" s="43">
        <v>10000</v>
      </c>
      <c r="BN121" s="43">
        <v>424423</v>
      </c>
      <c r="BO121" s="43">
        <v>3537576</v>
      </c>
      <c r="BP121" s="43">
        <v>2617949</v>
      </c>
      <c r="BQ121" s="43">
        <v>211435</v>
      </c>
      <c r="BR121" s="43">
        <v>3479</v>
      </c>
      <c r="BS121" s="43">
        <v>19030</v>
      </c>
      <c r="BT121" s="37">
        <v>0</v>
      </c>
      <c r="BU121" s="43">
        <v>110000</v>
      </c>
      <c r="BV121" s="43">
        <v>190537</v>
      </c>
      <c r="BW121" s="43">
        <v>5971</v>
      </c>
      <c r="BX121" s="43">
        <v>422561</v>
      </c>
      <c r="BY121" s="43">
        <v>371657</v>
      </c>
      <c r="BZ121" s="37">
        <v>0</v>
      </c>
      <c r="CA121" s="44">
        <f t="shared" si="15"/>
        <v>22758729</v>
      </c>
    </row>
    <row r="122" spans="1:79" x14ac:dyDescent="0.25">
      <c r="A122" s="60" t="s">
        <v>796</v>
      </c>
      <c r="B122" s="60" t="s">
        <v>797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43">
        <v>45063</v>
      </c>
      <c r="R122" s="37">
        <v>0</v>
      </c>
      <c r="S122" s="37">
        <v>0</v>
      </c>
      <c r="T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44">
        <v>0</v>
      </c>
      <c r="AN122" s="37">
        <v>0</v>
      </c>
      <c r="AP122" s="37">
        <v>0</v>
      </c>
      <c r="AQ122" s="37">
        <v>0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7">
        <v>0</v>
      </c>
      <c r="AY122" s="37">
        <v>0</v>
      </c>
      <c r="AZ122" s="37">
        <v>0</v>
      </c>
      <c r="BA122" s="37">
        <v>0</v>
      </c>
      <c r="BB122" s="37">
        <v>0</v>
      </c>
      <c r="BC122" s="37">
        <v>0</v>
      </c>
      <c r="BD122" s="37">
        <v>0</v>
      </c>
      <c r="BE122" s="37">
        <v>0</v>
      </c>
      <c r="BF122" s="37">
        <v>0</v>
      </c>
      <c r="BG122" s="43">
        <v>1597</v>
      </c>
      <c r="BH122" s="37">
        <v>0</v>
      </c>
      <c r="BI122" s="37">
        <v>0</v>
      </c>
      <c r="BJ122" s="37">
        <v>0</v>
      </c>
      <c r="BK122" s="37">
        <v>0</v>
      </c>
      <c r="BL122" s="37">
        <v>0</v>
      </c>
      <c r="BM122" s="37">
        <v>0</v>
      </c>
      <c r="BN122" s="37">
        <v>0</v>
      </c>
      <c r="BO122" s="43">
        <v>9558</v>
      </c>
      <c r="BP122" s="37">
        <v>0</v>
      </c>
      <c r="BQ122" s="37">
        <v>0</v>
      </c>
      <c r="BR122" s="37">
        <v>0</v>
      </c>
      <c r="BS122" s="37">
        <v>0</v>
      </c>
      <c r="BT122" s="37">
        <v>0</v>
      </c>
      <c r="BU122" s="37">
        <v>0</v>
      </c>
      <c r="BV122" s="37">
        <v>0</v>
      </c>
      <c r="BW122" s="37">
        <v>0</v>
      </c>
      <c r="BX122" s="37">
        <v>0</v>
      </c>
      <c r="BY122" s="37">
        <v>0</v>
      </c>
      <c r="BZ122" s="37">
        <v>0</v>
      </c>
      <c r="CA122" s="44">
        <f t="shared" si="15"/>
        <v>56218</v>
      </c>
    </row>
    <row r="123" spans="1:79" x14ac:dyDescent="0.25">
      <c r="A123" s="58" t="s">
        <v>798</v>
      </c>
      <c r="B123" s="58" t="s">
        <v>799</v>
      </c>
      <c r="C123" s="43">
        <v>24581</v>
      </c>
      <c r="D123" s="37">
        <v>0</v>
      </c>
      <c r="E123" s="37">
        <v>0</v>
      </c>
      <c r="F123" s="43">
        <v>106865</v>
      </c>
      <c r="G123" s="43">
        <v>54116</v>
      </c>
      <c r="H123" s="43">
        <v>26870</v>
      </c>
      <c r="I123" s="37">
        <v>0</v>
      </c>
      <c r="J123" s="43">
        <v>199063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V123" s="37">
        <v>0</v>
      </c>
      <c r="W123" s="37">
        <v>0</v>
      </c>
      <c r="X123" s="43">
        <v>32257</v>
      </c>
      <c r="Y123" s="37">
        <v>0</v>
      </c>
      <c r="Z123" s="37">
        <v>0</v>
      </c>
      <c r="AA123" s="37">
        <v>0</v>
      </c>
      <c r="AB123" s="37">
        <v>0</v>
      </c>
      <c r="AC123" s="43">
        <v>17366</v>
      </c>
      <c r="AD123" s="43">
        <v>148772</v>
      </c>
      <c r="AE123" s="37">
        <v>0</v>
      </c>
      <c r="AF123" s="43">
        <v>20278</v>
      </c>
      <c r="AG123" s="43">
        <v>47954</v>
      </c>
      <c r="AH123" s="37">
        <v>0</v>
      </c>
      <c r="AI123" s="37">
        <v>0</v>
      </c>
      <c r="AJ123" s="43">
        <v>76855</v>
      </c>
      <c r="AK123" s="37">
        <v>0</v>
      </c>
      <c r="AL123" s="37">
        <v>0</v>
      </c>
      <c r="AM123" s="44">
        <v>41954</v>
      </c>
      <c r="AN123" s="43">
        <v>467197</v>
      </c>
      <c r="AP123" s="37">
        <v>0</v>
      </c>
      <c r="AQ123" s="37">
        <v>0</v>
      </c>
      <c r="AR123" s="37">
        <v>0</v>
      </c>
      <c r="AS123" s="37">
        <v>0</v>
      </c>
      <c r="AT123" s="37">
        <v>0</v>
      </c>
      <c r="AU123" s="37">
        <v>0</v>
      </c>
      <c r="AV123" s="37">
        <v>0</v>
      </c>
      <c r="AW123" s="43">
        <v>32005</v>
      </c>
      <c r="AX123" s="43">
        <v>42702</v>
      </c>
      <c r="AY123" s="37">
        <v>0</v>
      </c>
      <c r="AZ123" s="43">
        <v>5348</v>
      </c>
      <c r="BA123" s="37">
        <v>150</v>
      </c>
      <c r="BB123" s="37">
        <v>0</v>
      </c>
      <c r="BC123" s="37">
        <v>0</v>
      </c>
      <c r="BD123" s="43">
        <v>243785</v>
      </c>
      <c r="BE123" s="37">
        <v>0</v>
      </c>
      <c r="BF123" s="43">
        <v>248565</v>
      </c>
      <c r="BG123" s="43">
        <v>11656</v>
      </c>
      <c r="BH123" s="43">
        <v>146958</v>
      </c>
      <c r="BI123" s="43">
        <v>32599</v>
      </c>
      <c r="BJ123" s="43">
        <v>46292</v>
      </c>
      <c r="BK123" s="37">
        <v>0</v>
      </c>
      <c r="BL123" s="37">
        <v>0</v>
      </c>
      <c r="BM123" s="37">
        <v>0</v>
      </c>
      <c r="BN123" s="43">
        <v>60370</v>
      </c>
      <c r="BO123" s="37">
        <v>0</v>
      </c>
      <c r="BP123" s="37">
        <v>0</v>
      </c>
      <c r="BQ123" s="37">
        <v>0</v>
      </c>
      <c r="BR123" s="43">
        <v>59244</v>
      </c>
      <c r="BS123" s="37">
        <v>0</v>
      </c>
      <c r="BT123" s="37">
        <v>0</v>
      </c>
      <c r="BU123" s="43">
        <v>32556</v>
      </c>
      <c r="BV123" s="37">
        <v>0</v>
      </c>
      <c r="BW123" s="37">
        <v>0</v>
      </c>
      <c r="BX123" s="43">
        <v>167933</v>
      </c>
      <c r="BY123" s="37">
        <v>0</v>
      </c>
      <c r="BZ123" s="37">
        <v>0</v>
      </c>
      <c r="CA123" s="44">
        <f t="shared" si="15"/>
        <v>2394291</v>
      </c>
    </row>
    <row r="124" spans="1:79" x14ac:dyDescent="0.25">
      <c r="A124" s="60" t="s">
        <v>800</v>
      </c>
      <c r="B124" s="60" t="s">
        <v>801</v>
      </c>
      <c r="C124" s="37">
        <v>0</v>
      </c>
      <c r="D124" s="43">
        <v>127273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44">
        <v>0</v>
      </c>
      <c r="AN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37">
        <v>0</v>
      </c>
      <c r="BH124" s="37">
        <v>0</v>
      </c>
      <c r="BI124" s="37">
        <v>0</v>
      </c>
      <c r="BJ124" s="37">
        <v>0</v>
      </c>
      <c r="BK124" s="37">
        <v>0</v>
      </c>
      <c r="BL124" s="37">
        <v>0</v>
      </c>
      <c r="BM124" s="37">
        <v>0</v>
      </c>
      <c r="BN124" s="37">
        <v>0</v>
      </c>
      <c r="BO124" s="37">
        <v>0</v>
      </c>
      <c r="BP124" s="37">
        <v>0</v>
      </c>
      <c r="BQ124" s="37">
        <v>0</v>
      </c>
      <c r="BR124" s="37">
        <v>0</v>
      </c>
      <c r="BS124" s="37">
        <v>0</v>
      </c>
      <c r="BT124" s="37">
        <v>0</v>
      </c>
      <c r="BU124" s="37">
        <v>0</v>
      </c>
      <c r="BV124" s="37">
        <v>0</v>
      </c>
      <c r="BW124" s="37">
        <v>0</v>
      </c>
      <c r="BX124" s="37">
        <v>0</v>
      </c>
      <c r="BY124" s="37">
        <v>0</v>
      </c>
      <c r="BZ124" s="37">
        <v>0</v>
      </c>
      <c r="CA124" s="44">
        <f t="shared" si="15"/>
        <v>127273</v>
      </c>
    </row>
    <row r="125" spans="1:79" x14ac:dyDescent="0.25">
      <c r="A125" s="60" t="s">
        <v>802</v>
      </c>
      <c r="B125" s="60" t="s">
        <v>803</v>
      </c>
      <c r="J125" s="43"/>
      <c r="N125" s="43"/>
      <c r="Q125" s="43"/>
      <c r="S125" s="43"/>
      <c r="AD125" s="43"/>
      <c r="AH125" s="43"/>
      <c r="AI125" s="43"/>
      <c r="AM125" s="44">
        <v>0</v>
      </c>
      <c r="AN125" s="43"/>
      <c r="AQ125" s="43"/>
      <c r="BG125" s="43"/>
      <c r="BV125" s="43"/>
      <c r="BX125" s="43"/>
      <c r="BY125" s="43"/>
      <c r="BZ125" s="43"/>
      <c r="CA125" s="44">
        <f t="shared" si="15"/>
        <v>0</v>
      </c>
    </row>
    <row r="126" spans="1:79" x14ac:dyDescent="0.25">
      <c r="A126" s="60" t="s">
        <v>804</v>
      </c>
      <c r="B126" s="60" t="s">
        <v>805</v>
      </c>
      <c r="C126" s="37">
        <v>0</v>
      </c>
      <c r="D126" s="37">
        <v>0</v>
      </c>
      <c r="E126" s="37">
        <v>0</v>
      </c>
      <c r="F126" s="37">
        <v>0</v>
      </c>
      <c r="G126" s="43">
        <v>66518</v>
      </c>
      <c r="H126" s="43">
        <v>10492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43">
        <v>18947992</v>
      </c>
      <c r="R126" s="37">
        <v>0</v>
      </c>
      <c r="S126" s="37">
        <v>0</v>
      </c>
      <c r="T126" s="37">
        <v>0</v>
      </c>
      <c r="V126" s="37">
        <v>0</v>
      </c>
      <c r="W126" s="37">
        <v>0</v>
      </c>
      <c r="X126" s="43">
        <v>194789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43">
        <v>15000</v>
      </c>
      <c r="AI126" s="37">
        <v>0</v>
      </c>
      <c r="AJ126" s="37">
        <v>0</v>
      </c>
      <c r="AK126" s="37">
        <v>0</v>
      </c>
      <c r="AL126" s="37">
        <v>0</v>
      </c>
      <c r="AM126" s="44">
        <v>0</v>
      </c>
      <c r="AN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43">
        <v>1626231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43">
        <v>129229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  <c r="BL126" s="37">
        <v>0</v>
      </c>
      <c r="BM126" s="37">
        <v>0</v>
      </c>
      <c r="BN126" s="37">
        <v>0</v>
      </c>
      <c r="BO126" s="37">
        <v>0</v>
      </c>
      <c r="BP126" s="37">
        <v>0</v>
      </c>
      <c r="BQ126" s="37">
        <v>0</v>
      </c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44">
        <f t="shared" si="15"/>
        <v>20990251</v>
      </c>
    </row>
    <row r="127" spans="1:79" x14ac:dyDescent="0.25">
      <c r="A127" s="60" t="s">
        <v>806</v>
      </c>
      <c r="B127" s="60" t="s">
        <v>807</v>
      </c>
      <c r="C127" s="65">
        <v>4656</v>
      </c>
      <c r="D127" s="43">
        <v>36244</v>
      </c>
      <c r="E127" s="43">
        <v>2263</v>
      </c>
      <c r="F127" s="43">
        <v>14745</v>
      </c>
      <c r="G127" s="43">
        <v>5105</v>
      </c>
      <c r="H127" s="43">
        <v>4159</v>
      </c>
      <c r="I127" s="43">
        <v>4801</v>
      </c>
      <c r="J127" s="43">
        <v>20172</v>
      </c>
      <c r="K127" s="43">
        <v>3779</v>
      </c>
      <c r="L127" s="37">
        <v>0</v>
      </c>
      <c r="M127" s="37">
        <v>0</v>
      </c>
      <c r="N127" s="37">
        <v>0</v>
      </c>
      <c r="O127" s="43">
        <v>54645</v>
      </c>
      <c r="P127" s="37">
        <v>0</v>
      </c>
      <c r="Q127" s="43">
        <v>4990</v>
      </c>
      <c r="R127" s="37">
        <v>0</v>
      </c>
      <c r="S127" s="37">
        <v>0</v>
      </c>
      <c r="T127" s="43">
        <v>11151</v>
      </c>
      <c r="V127" s="37">
        <v>0</v>
      </c>
      <c r="W127" s="43">
        <v>13423</v>
      </c>
      <c r="X127" s="37">
        <v>0</v>
      </c>
      <c r="Y127" s="37">
        <v>0</v>
      </c>
      <c r="Z127" s="43">
        <v>35581</v>
      </c>
      <c r="AA127" s="43">
        <v>4386</v>
      </c>
      <c r="AB127" s="37">
        <v>0</v>
      </c>
      <c r="AC127" s="43">
        <v>6029</v>
      </c>
      <c r="AD127" s="37">
        <v>0</v>
      </c>
      <c r="AE127" s="37">
        <v>0</v>
      </c>
      <c r="AF127" s="37">
        <v>0</v>
      </c>
      <c r="AG127" s="43">
        <v>1946</v>
      </c>
      <c r="AH127" s="43">
        <v>15217</v>
      </c>
      <c r="AI127" s="43">
        <v>124296</v>
      </c>
      <c r="AJ127" s="37">
        <v>0</v>
      </c>
      <c r="AK127" s="43">
        <v>53420</v>
      </c>
      <c r="AL127" s="43">
        <v>2207</v>
      </c>
      <c r="AM127" s="44">
        <v>0</v>
      </c>
      <c r="AN127" s="43">
        <v>77552</v>
      </c>
      <c r="AP127" s="43">
        <v>16104</v>
      </c>
      <c r="AQ127" s="43">
        <v>22873</v>
      </c>
      <c r="AR127" s="37">
        <v>0</v>
      </c>
      <c r="AS127" s="37">
        <v>0</v>
      </c>
      <c r="AT127" s="43">
        <v>2634</v>
      </c>
      <c r="AU127" s="37">
        <v>0</v>
      </c>
      <c r="AV127" s="37">
        <v>0</v>
      </c>
      <c r="AW127" s="43">
        <v>3879</v>
      </c>
      <c r="AX127" s="43">
        <v>5366</v>
      </c>
      <c r="AY127" s="37">
        <v>0</v>
      </c>
      <c r="AZ127" s="37">
        <v>0</v>
      </c>
      <c r="BA127" s="43">
        <v>6214</v>
      </c>
      <c r="BB127" s="37">
        <v>0</v>
      </c>
      <c r="BC127" s="37">
        <v>0</v>
      </c>
      <c r="BD127" s="37">
        <v>0</v>
      </c>
      <c r="BE127" s="37">
        <v>0</v>
      </c>
      <c r="BF127" s="43">
        <v>23147</v>
      </c>
      <c r="BG127" s="37">
        <v>0</v>
      </c>
      <c r="BH127" s="37">
        <v>0</v>
      </c>
      <c r="BI127" s="37">
        <v>0</v>
      </c>
      <c r="BJ127" s="43">
        <v>7495</v>
      </c>
      <c r="BK127" s="43">
        <v>14842</v>
      </c>
      <c r="BL127" s="43">
        <v>5059</v>
      </c>
      <c r="BM127" s="43">
        <v>4135</v>
      </c>
      <c r="BN127" s="43">
        <v>15483</v>
      </c>
      <c r="BO127" s="43">
        <v>20060</v>
      </c>
      <c r="BP127" s="43">
        <v>15733</v>
      </c>
      <c r="BQ127" s="37">
        <v>0</v>
      </c>
      <c r="BR127" s="43">
        <v>5219</v>
      </c>
      <c r="BS127" s="37">
        <v>0</v>
      </c>
      <c r="BT127" s="37">
        <v>0</v>
      </c>
      <c r="BU127" s="37">
        <v>0</v>
      </c>
      <c r="BV127" s="43">
        <v>35087</v>
      </c>
      <c r="BW127" s="37">
        <v>0</v>
      </c>
      <c r="BX127" s="43">
        <v>2874</v>
      </c>
      <c r="BY127" s="43">
        <v>2874</v>
      </c>
      <c r="BZ127" s="37">
        <v>0</v>
      </c>
      <c r="CA127" s="44">
        <f t="shared" si="15"/>
        <v>709845</v>
      </c>
    </row>
    <row r="128" spans="1:79" x14ac:dyDescent="0.25">
      <c r="A128" s="37" t="s">
        <v>808</v>
      </c>
      <c r="B128" s="37" t="s">
        <v>809</v>
      </c>
      <c r="C128" s="65">
        <v>2109715</v>
      </c>
      <c r="D128" s="43">
        <v>18241185</v>
      </c>
      <c r="E128" s="43">
        <v>688561</v>
      </c>
      <c r="F128" s="43">
        <v>7817757</v>
      </c>
      <c r="G128" s="43">
        <v>2823489</v>
      </c>
      <c r="H128" s="43">
        <v>2046909</v>
      </c>
      <c r="I128" s="43">
        <v>1980176</v>
      </c>
      <c r="J128" s="43">
        <v>9227760</v>
      </c>
      <c r="K128" s="43">
        <v>1466574</v>
      </c>
      <c r="L128" s="43">
        <v>1586463</v>
      </c>
      <c r="M128" s="43">
        <v>958433</v>
      </c>
      <c r="N128" s="37">
        <v>0</v>
      </c>
      <c r="O128" s="43">
        <v>27542832</v>
      </c>
      <c r="P128" s="43">
        <v>857324</v>
      </c>
      <c r="Q128" s="43">
        <v>12278191</v>
      </c>
      <c r="R128" s="43">
        <v>6064029</v>
      </c>
      <c r="S128" s="43">
        <v>3355333</v>
      </c>
      <c r="T128" s="43">
        <v>5288029</v>
      </c>
      <c r="V128" s="43">
        <v>3465015</v>
      </c>
      <c r="W128" s="43">
        <v>6776856</v>
      </c>
      <c r="X128" s="43">
        <v>1164114</v>
      </c>
      <c r="Y128" s="37">
        <v>0</v>
      </c>
      <c r="Z128" s="43">
        <v>19362216</v>
      </c>
      <c r="AA128" s="43">
        <v>1319711</v>
      </c>
      <c r="AB128" s="43">
        <v>2186615</v>
      </c>
      <c r="AC128" s="43">
        <v>1113922</v>
      </c>
      <c r="AD128" s="43">
        <v>6412974</v>
      </c>
      <c r="AE128" s="37">
        <v>0</v>
      </c>
      <c r="AF128" s="43">
        <v>2652238</v>
      </c>
      <c r="AG128" s="43">
        <v>1097208</v>
      </c>
      <c r="AH128" s="43">
        <v>3163956</v>
      </c>
      <c r="AI128" s="43">
        <v>54231807</v>
      </c>
      <c r="AJ128" s="43">
        <v>6220454</v>
      </c>
      <c r="AK128" s="43">
        <v>727026</v>
      </c>
      <c r="AL128" s="43">
        <v>233349</v>
      </c>
      <c r="AM128" s="44">
        <v>1771413</v>
      </c>
      <c r="AN128" s="43">
        <v>26631602</v>
      </c>
      <c r="AP128" s="43">
        <v>8243454</v>
      </c>
      <c r="AQ128" s="43">
        <v>11595191</v>
      </c>
      <c r="AR128" s="43">
        <v>4065598</v>
      </c>
      <c r="AS128" s="43">
        <v>2160995</v>
      </c>
      <c r="AT128" s="43">
        <v>1903445</v>
      </c>
      <c r="AU128" s="43">
        <v>20839737</v>
      </c>
      <c r="AV128" s="43">
        <v>6073686</v>
      </c>
      <c r="AW128" s="43">
        <v>1494354</v>
      </c>
      <c r="AX128" s="43">
        <v>3147656</v>
      </c>
      <c r="AY128" s="43">
        <v>11930381</v>
      </c>
      <c r="AZ128" s="43">
        <v>310875</v>
      </c>
      <c r="BA128" s="37">
        <v>168</v>
      </c>
      <c r="BB128" s="43">
        <v>2701314</v>
      </c>
      <c r="BC128" s="43">
        <v>4050216</v>
      </c>
      <c r="BD128" s="43">
        <v>5748212</v>
      </c>
      <c r="BE128" s="43">
        <v>7919526</v>
      </c>
      <c r="BF128" s="43">
        <v>10652577</v>
      </c>
      <c r="BG128" s="43">
        <v>14120817</v>
      </c>
      <c r="BH128" s="43">
        <v>21711616</v>
      </c>
      <c r="BI128" s="43">
        <v>1999070</v>
      </c>
      <c r="BJ128" s="43">
        <v>3910523</v>
      </c>
      <c r="BK128" s="43">
        <v>8877570</v>
      </c>
      <c r="BL128" s="43">
        <v>2064216</v>
      </c>
      <c r="BM128" s="43">
        <v>2088584</v>
      </c>
      <c r="BN128" s="43">
        <v>6708287</v>
      </c>
      <c r="BO128" s="43">
        <v>6716654</v>
      </c>
      <c r="BP128" s="43">
        <v>5053906</v>
      </c>
      <c r="BQ128" s="43">
        <v>11653059</v>
      </c>
      <c r="BR128" s="43">
        <v>3111641</v>
      </c>
      <c r="BS128" s="43">
        <v>2558708</v>
      </c>
      <c r="BT128" s="43">
        <v>3101805</v>
      </c>
      <c r="BU128" s="43">
        <v>5139320</v>
      </c>
      <c r="BV128" s="43">
        <v>11828008</v>
      </c>
      <c r="BW128" s="43">
        <v>15804181</v>
      </c>
      <c r="BX128" s="43">
        <v>15526343</v>
      </c>
      <c r="BY128" s="43">
        <v>17219052</v>
      </c>
      <c r="BZ128" s="43">
        <v>2178219</v>
      </c>
      <c r="CA128" s="44">
        <f t="shared" si="15"/>
        <v>507072200</v>
      </c>
    </row>
    <row r="129" spans="1:79" x14ac:dyDescent="0.25">
      <c r="A129" s="37" t="s">
        <v>810</v>
      </c>
      <c r="B129" s="37" t="s">
        <v>811</v>
      </c>
      <c r="C129" s="65">
        <v>135347</v>
      </c>
      <c r="D129" s="43">
        <v>34872</v>
      </c>
      <c r="E129" s="37">
        <v>0</v>
      </c>
      <c r="F129" s="37">
        <v>0</v>
      </c>
      <c r="G129" s="37">
        <v>0</v>
      </c>
      <c r="H129" s="43">
        <v>46428</v>
      </c>
      <c r="I129" s="43">
        <v>626348</v>
      </c>
      <c r="J129" s="43">
        <v>36658</v>
      </c>
      <c r="K129" s="37">
        <v>0</v>
      </c>
      <c r="L129" s="37">
        <v>0</v>
      </c>
      <c r="M129" s="43">
        <v>13087</v>
      </c>
      <c r="N129" s="37">
        <v>0</v>
      </c>
      <c r="O129" s="37">
        <v>0</v>
      </c>
      <c r="P129" s="43">
        <v>287981</v>
      </c>
      <c r="Q129" s="43">
        <v>2035000</v>
      </c>
      <c r="R129" s="43">
        <v>66157</v>
      </c>
      <c r="S129" s="37">
        <v>0</v>
      </c>
      <c r="T129" s="37">
        <v>0</v>
      </c>
      <c r="V129" s="37">
        <v>0</v>
      </c>
      <c r="W129" s="43">
        <v>370783</v>
      </c>
      <c r="X129" s="37">
        <v>0</v>
      </c>
      <c r="Y129" s="43">
        <v>548852</v>
      </c>
      <c r="Z129" s="43">
        <v>2545720</v>
      </c>
      <c r="AA129" s="43">
        <v>60650</v>
      </c>
      <c r="AB129" s="43">
        <v>167684</v>
      </c>
      <c r="AC129" s="37">
        <v>0</v>
      </c>
      <c r="AD129" s="43">
        <v>1505642</v>
      </c>
      <c r="AE129" s="37">
        <v>0</v>
      </c>
      <c r="AF129" s="43">
        <v>54400</v>
      </c>
      <c r="AG129" s="37">
        <v>0</v>
      </c>
      <c r="AH129" s="43">
        <v>25761</v>
      </c>
      <c r="AI129" s="43">
        <v>755020</v>
      </c>
      <c r="AJ129" s="37">
        <v>0</v>
      </c>
      <c r="AK129" s="37">
        <v>0</v>
      </c>
      <c r="AL129" s="43">
        <v>626802</v>
      </c>
      <c r="AM129" s="44">
        <v>759492</v>
      </c>
      <c r="AN129" s="43">
        <v>784222</v>
      </c>
      <c r="AP129" s="43">
        <v>354198</v>
      </c>
      <c r="AQ129" s="43">
        <v>2077299</v>
      </c>
      <c r="AR129" s="37">
        <v>0</v>
      </c>
      <c r="AS129" s="43">
        <v>172747</v>
      </c>
      <c r="AT129" s="37">
        <v>0</v>
      </c>
      <c r="AU129" s="37">
        <v>0</v>
      </c>
      <c r="AV129" s="43">
        <v>115450</v>
      </c>
      <c r="AW129" s="43">
        <v>83980</v>
      </c>
      <c r="AX129" s="43">
        <v>124784</v>
      </c>
      <c r="AY129" s="37">
        <v>0</v>
      </c>
      <c r="AZ129" s="43">
        <v>50707</v>
      </c>
      <c r="BA129" s="43">
        <v>50245</v>
      </c>
      <c r="BB129" s="37">
        <v>0</v>
      </c>
      <c r="BC129" s="37">
        <v>0</v>
      </c>
      <c r="BD129" s="43">
        <v>2294336</v>
      </c>
      <c r="BE129" s="43">
        <v>347120</v>
      </c>
      <c r="BF129" s="43">
        <v>43594</v>
      </c>
      <c r="BG129" s="43">
        <v>72949</v>
      </c>
      <c r="BH129" s="43">
        <v>448185</v>
      </c>
      <c r="BI129" s="43">
        <v>140234</v>
      </c>
      <c r="BJ129" s="43">
        <v>300000</v>
      </c>
      <c r="BK129" s="43">
        <v>1293267</v>
      </c>
      <c r="BL129" s="43">
        <v>1398940</v>
      </c>
      <c r="BM129" s="37">
        <v>0</v>
      </c>
      <c r="BN129" s="43">
        <v>279055</v>
      </c>
      <c r="BO129" s="43">
        <v>1728228</v>
      </c>
      <c r="BP129" s="43">
        <v>607038</v>
      </c>
      <c r="BQ129" s="43">
        <v>675756</v>
      </c>
      <c r="BR129" s="43">
        <v>149000</v>
      </c>
      <c r="BS129" s="43">
        <v>32622</v>
      </c>
      <c r="BT129" s="43">
        <v>32894</v>
      </c>
      <c r="BU129" s="43">
        <v>595600</v>
      </c>
      <c r="BV129" s="43">
        <v>75000</v>
      </c>
      <c r="BW129" s="43">
        <v>2101894</v>
      </c>
      <c r="BX129" s="43">
        <v>586995</v>
      </c>
      <c r="BY129" s="43">
        <v>503541</v>
      </c>
      <c r="BZ129" s="37">
        <v>0</v>
      </c>
      <c r="CA129" s="44">
        <f t="shared" si="15"/>
        <v>28222564</v>
      </c>
    </row>
    <row r="130" spans="1:79" x14ac:dyDescent="0.25">
      <c r="A130" s="37" t="s">
        <v>812</v>
      </c>
      <c r="B130" s="37" t="s">
        <v>813</v>
      </c>
      <c r="C130" s="56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43">
        <v>12318</v>
      </c>
      <c r="N130" s="37">
        <v>0</v>
      </c>
      <c r="O130" s="37">
        <v>0</v>
      </c>
      <c r="P130" s="43">
        <v>9817</v>
      </c>
      <c r="Q130" s="37">
        <v>0</v>
      </c>
      <c r="R130" s="37">
        <v>0</v>
      </c>
      <c r="S130" s="37">
        <v>0</v>
      </c>
      <c r="T130" s="37">
        <v>0</v>
      </c>
      <c r="V130" s="37">
        <v>0</v>
      </c>
      <c r="W130" s="37">
        <v>0</v>
      </c>
      <c r="X130" s="37">
        <v>0</v>
      </c>
      <c r="Y130" s="43">
        <v>91039</v>
      </c>
      <c r="Z130" s="37">
        <v>0</v>
      </c>
      <c r="AA130" s="37">
        <v>0</v>
      </c>
      <c r="AB130" s="43">
        <v>367411</v>
      </c>
      <c r="AC130" s="37">
        <v>0</v>
      </c>
      <c r="AD130" s="43">
        <v>143183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43">
        <v>517250</v>
      </c>
      <c r="AM130" s="44">
        <v>0</v>
      </c>
      <c r="AN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43">
        <v>39033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37">
        <v>0</v>
      </c>
      <c r="BD130" s="43">
        <v>26700</v>
      </c>
      <c r="BE130" s="37">
        <v>0</v>
      </c>
      <c r="BF130" s="37">
        <v>0</v>
      </c>
      <c r="BG130" s="43">
        <v>76500</v>
      </c>
      <c r="BH130" s="37">
        <v>0</v>
      </c>
      <c r="BI130" s="37">
        <v>0</v>
      </c>
      <c r="BJ130" s="37">
        <v>0</v>
      </c>
      <c r="BK130" s="37">
        <v>0</v>
      </c>
      <c r="BL130" s="37">
        <v>0</v>
      </c>
      <c r="BM130" s="37">
        <v>0</v>
      </c>
      <c r="BN130" s="37">
        <v>0</v>
      </c>
      <c r="BO130" s="43">
        <v>2137788</v>
      </c>
      <c r="BP130" s="37">
        <v>0</v>
      </c>
      <c r="BQ130" s="43">
        <v>395449</v>
      </c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43">
        <v>46119</v>
      </c>
      <c r="BY130" s="43">
        <v>59375</v>
      </c>
      <c r="BZ130" s="37">
        <v>0</v>
      </c>
      <c r="CA130" s="44">
        <f t="shared" si="15"/>
        <v>3921982</v>
      </c>
    </row>
    <row r="131" spans="1:79" x14ac:dyDescent="0.25">
      <c r="A131" s="37" t="s">
        <v>814</v>
      </c>
      <c r="B131" s="37" t="s">
        <v>815</v>
      </c>
      <c r="C131" s="65">
        <v>1207683</v>
      </c>
      <c r="D131" s="37">
        <v>0</v>
      </c>
      <c r="E131" s="43">
        <v>300000</v>
      </c>
      <c r="F131" s="37">
        <v>0</v>
      </c>
      <c r="G131" s="37">
        <v>0</v>
      </c>
      <c r="H131" s="43">
        <v>600000</v>
      </c>
      <c r="I131" s="43">
        <v>3641928</v>
      </c>
      <c r="J131" s="43">
        <v>4500000</v>
      </c>
      <c r="K131" s="37">
        <v>0</v>
      </c>
      <c r="L131" s="37">
        <v>0</v>
      </c>
      <c r="M131" s="37">
        <v>0</v>
      </c>
      <c r="N131" s="43">
        <v>2710352</v>
      </c>
      <c r="O131" s="43">
        <v>30731074</v>
      </c>
      <c r="P131" s="43">
        <v>1882927</v>
      </c>
      <c r="Q131" s="43">
        <v>40151667</v>
      </c>
      <c r="R131" s="43">
        <v>2741757</v>
      </c>
      <c r="S131" s="37">
        <v>0</v>
      </c>
      <c r="T131" s="43">
        <v>482388</v>
      </c>
      <c r="V131" s="43">
        <v>7454577</v>
      </c>
      <c r="W131" s="43">
        <v>1348287</v>
      </c>
      <c r="X131" s="37">
        <v>0</v>
      </c>
      <c r="Y131" s="37">
        <v>0</v>
      </c>
      <c r="Z131" s="43">
        <v>12710695</v>
      </c>
      <c r="AA131" s="37">
        <v>0</v>
      </c>
      <c r="AB131" s="37">
        <v>0</v>
      </c>
      <c r="AC131" s="37">
        <v>0</v>
      </c>
      <c r="AD131" s="43">
        <v>1545730</v>
      </c>
      <c r="AE131" s="37">
        <v>0</v>
      </c>
      <c r="AF131" s="37">
        <v>0</v>
      </c>
      <c r="AG131" s="43">
        <v>5510</v>
      </c>
      <c r="AH131" s="43">
        <v>57837</v>
      </c>
      <c r="AI131" s="43">
        <v>76823130</v>
      </c>
      <c r="AJ131" s="43">
        <v>9284576</v>
      </c>
      <c r="AK131" s="37">
        <v>0</v>
      </c>
      <c r="AL131" s="37">
        <v>0</v>
      </c>
      <c r="AM131" s="44">
        <v>1126213</v>
      </c>
      <c r="AN131" s="37">
        <v>0</v>
      </c>
      <c r="AP131" s="43">
        <v>9509840</v>
      </c>
      <c r="AQ131" s="43">
        <v>7123557</v>
      </c>
      <c r="AR131" s="37">
        <v>0</v>
      </c>
      <c r="AS131" s="37">
        <v>0</v>
      </c>
      <c r="AT131" s="37">
        <v>0</v>
      </c>
      <c r="AU131" s="43">
        <v>6065078</v>
      </c>
      <c r="AV131" s="43">
        <v>2127540</v>
      </c>
      <c r="AW131" s="37">
        <v>0</v>
      </c>
      <c r="AX131" s="37">
        <v>0</v>
      </c>
      <c r="AY131" s="37">
        <v>0</v>
      </c>
      <c r="AZ131" s="37">
        <v>0</v>
      </c>
      <c r="BA131" s="37">
        <v>0</v>
      </c>
      <c r="BB131" s="37">
        <v>0</v>
      </c>
      <c r="BC131" s="43">
        <v>5476908</v>
      </c>
      <c r="BD131" s="37">
        <v>0</v>
      </c>
      <c r="BE131" s="37">
        <v>0</v>
      </c>
      <c r="BF131" s="43">
        <v>21953851</v>
      </c>
      <c r="BG131" s="43">
        <v>3144837</v>
      </c>
      <c r="BH131" s="43">
        <v>1632714</v>
      </c>
      <c r="BI131" s="37">
        <v>0</v>
      </c>
      <c r="BJ131" s="43">
        <v>2719882</v>
      </c>
      <c r="BK131" s="37">
        <v>0</v>
      </c>
      <c r="BL131" s="37">
        <v>0</v>
      </c>
      <c r="BM131" s="43">
        <v>7571001</v>
      </c>
      <c r="BN131" s="37">
        <v>0</v>
      </c>
      <c r="BO131" s="43">
        <v>10890322</v>
      </c>
      <c r="BP131" s="43">
        <v>917506</v>
      </c>
      <c r="BQ131" s="37">
        <v>0</v>
      </c>
      <c r="BR131" s="37">
        <v>0</v>
      </c>
      <c r="BS131" s="43">
        <v>1766213</v>
      </c>
      <c r="BT131" s="37">
        <v>0</v>
      </c>
      <c r="BU131" s="37">
        <v>0</v>
      </c>
      <c r="BV131" s="37">
        <v>0</v>
      </c>
      <c r="BW131" s="43">
        <v>7358500</v>
      </c>
      <c r="BX131" s="43">
        <v>2300324</v>
      </c>
      <c r="BY131" s="43">
        <v>757373</v>
      </c>
      <c r="BZ131" s="37">
        <v>0</v>
      </c>
      <c r="CA131" s="44">
        <f t="shared" si="15"/>
        <v>290621777</v>
      </c>
    </row>
    <row r="132" spans="1:79" x14ac:dyDescent="0.25">
      <c r="A132" s="37" t="s">
        <v>816</v>
      </c>
      <c r="B132" s="37" t="s">
        <v>817</v>
      </c>
      <c r="C132" s="65">
        <v>2066253</v>
      </c>
      <c r="D132" s="37">
        <v>0</v>
      </c>
      <c r="E132" s="37">
        <v>0</v>
      </c>
      <c r="F132" s="37">
        <v>0</v>
      </c>
      <c r="G132" s="43">
        <v>2104625</v>
      </c>
      <c r="H132" s="43">
        <v>130000</v>
      </c>
      <c r="I132" s="43">
        <v>2400000</v>
      </c>
      <c r="J132" s="43">
        <v>11778824</v>
      </c>
      <c r="K132" s="43">
        <v>1482135</v>
      </c>
      <c r="L132" s="37">
        <v>0</v>
      </c>
      <c r="M132" s="37">
        <v>0</v>
      </c>
      <c r="N132" s="37">
        <v>0</v>
      </c>
      <c r="O132" s="43">
        <v>49175560</v>
      </c>
      <c r="P132" s="43">
        <v>2516000</v>
      </c>
      <c r="Q132" s="43">
        <v>56163094</v>
      </c>
      <c r="R132" s="43">
        <v>4252986</v>
      </c>
      <c r="S132" s="43">
        <v>15169453</v>
      </c>
      <c r="T132" s="43">
        <v>3484000</v>
      </c>
      <c r="V132" s="43">
        <v>11880896</v>
      </c>
      <c r="W132" s="43">
        <v>21089667</v>
      </c>
      <c r="X132" s="43">
        <v>11313</v>
      </c>
      <c r="Y132" s="37">
        <v>0</v>
      </c>
      <c r="Z132" s="43">
        <v>15431128</v>
      </c>
      <c r="AA132" s="37">
        <v>0</v>
      </c>
      <c r="AB132" s="37">
        <v>0</v>
      </c>
      <c r="AC132" s="43">
        <v>3187561</v>
      </c>
      <c r="AD132" s="43">
        <v>7760436</v>
      </c>
      <c r="AE132" s="43">
        <v>22650</v>
      </c>
      <c r="AF132" s="37">
        <v>0</v>
      </c>
      <c r="AG132" s="37">
        <v>0</v>
      </c>
      <c r="AH132" s="37">
        <v>0</v>
      </c>
      <c r="AI132" s="43">
        <v>173284333</v>
      </c>
      <c r="AJ132" s="43">
        <v>2575424</v>
      </c>
      <c r="AK132" s="43">
        <v>250000</v>
      </c>
      <c r="AL132" s="37">
        <v>0</v>
      </c>
      <c r="AM132" s="44">
        <v>5318950</v>
      </c>
      <c r="AN132" s="43">
        <v>85513619</v>
      </c>
      <c r="AP132" s="43">
        <v>10533796</v>
      </c>
      <c r="AQ132" s="43">
        <v>21182082</v>
      </c>
      <c r="AR132" s="43">
        <v>6598413</v>
      </c>
      <c r="AS132" s="43">
        <v>2724411</v>
      </c>
      <c r="AT132" s="37">
        <v>0</v>
      </c>
      <c r="AU132" s="43">
        <v>18140838</v>
      </c>
      <c r="AV132" s="43">
        <v>12990179</v>
      </c>
      <c r="AW132" s="43">
        <v>4500000</v>
      </c>
      <c r="AX132" s="37">
        <v>0</v>
      </c>
      <c r="AY132" s="37">
        <v>0</v>
      </c>
      <c r="AZ132" s="43">
        <v>1373831</v>
      </c>
      <c r="BA132" s="43">
        <v>773136</v>
      </c>
      <c r="BB132" s="43">
        <v>1078857</v>
      </c>
      <c r="BC132" s="43">
        <v>6052062</v>
      </c>
      <c r="BD132" s="43">
        <v>3315981</v>
      </c>
      <c r="BE132" s="43">
        <v>13000000</v>
      </c>
      <c r="BF132" s="43">
        <v>12500892</v>
      </c>
      <c r="BG132" s="43">
        <v>54402046</v>
      </c>
      <c r="BH132" s="37">
        <v>0</v>
      </c>
      <c r="BI132" s="37">
        <v>0</v>
      </c>
      <c r="BJ132" s="43">
        <v>5110000</v>
      </c>
      <c r="BK132" s="43">
        <v>39032434</v>
      </c>
      <c r="BL132" s="43">
        <v>4690107</v>
      </c>
      <c r="BM132" s="37">
        <v>0</v>
      </c>
      <c r="BN132" s="43">
        <v>25040596</v>
      </c>
      <c r="BO132" s="37">
        <v>0</v>
      </c>
      <c r="BP132" s="43">
        <v>8309265</v>
      </c>
      <c r="BQ132" s="43">
        <v>13527561</v>
      </c>
      <c r="BR132" s="43">
        <v>4872186</v>
      </c>
      <c r="BS132" s="43">
        <v>2614723</v>
      </c>
      <c r="BT132" s="43">
        <v>5007662</v>
      </c>
      <c r="BU132" s="43">
        <v>3500000</v>
      </c>
      <c r="BV132" s="43">
        <v>22988324</v>
      </c>
      <c r="BW132" s="43">
        <v>2947174</v>
      </c>
      <c r="BX132" s="43">
        <v>1486305</v>
      </c>
      <c r="BY132" s="37">
        <v>0</v>
      </c>
      <c r="BZ132" s="37">
        <v>0</v>
      </c>
      <c r="CA132" s="44">
        <f t="shared" si="15"/>
        <v>785341768</v>
      </c>
    </row>
    <row r="133" spans="1:79" x14ac:dyDescent="0.25">
      <c r="A133" s="37" t="s">
        <v>818</v>
      </c>
      <c r="B133" s="37" t="s">
        <v>819</v>
      </c>
      <c r="C133" s="56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43">
        <v>34967</v>
      </c>
      <c r="K133" s="37">
        <v>0</v>
      </c>
      <c r="L133" s="37">
        <v>0</v>
      </c>
      <c r="M133" s="43">
        <v>198461</v>
      </c>
      <c r="N133" s="43">
        <v>110000</v>
      </c>
      <c r="O133" s="43">
        <v>178465</v>
      </c>
      <c r="P133" s="37">
        <v>0</v>
      </c>
      <c r="Q133" s="43">
        <v>825000</v>
      </c>
      <c r="R133" s="43">
        <v>500000</v>
      </c>
      <c r="S133" s="37">
        <v>0</v>
      </c>
      <c r="T133" s="37">
        <v>0</v>
      </c>
      <c r="V133" s="37">
        <v>0</v>
      </c>
      <c r="W133" s="37">
        <v>0</v>
      </c>
      <c r="X133" s="37">
        <v>0</v>
      </c>
      <c r="Y133" s="37">
        <v>0</v>
      </c>
      <c r="Z133" s="43">
        <v>223181</v>
      </c>
      <c r="AA133" s="37">
        <v>0</v>
      </c>
      <c r="AB133" s="43">
        <v>397321</v>
      </c>
      <c r="AC133" s="43">
        <v>174282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44">
        <v>555468</v>
      </c>
      <c r="AN133" s="43">
        <v>301101</v>
      </c>
      <c r="AP133" s="37">
        <v>0</v>
      </c>
      <c r="AQ133" s="43">
        <v>2224</v>
      </c>
      <c r="AR133" s="37">
        <v>0</v>
      </c>
      <c r="AS133" s="37">
        <v>0</v>
      </c>
      <c r="AT133" s="37">
        <v>0</v>
      </c>
      <c r="AU133" s="43">
        <v>1793381</v>
      </c>
      <c r="AV133" s="43">
        <v>10103</v>
      </c>
      <c r="AW133" s="43">
        <v>276895</v>
      </c>
      <c r="AX133" s="37">
        <v>0</v>
      </c>
      <c r="AY133" s="37">
        <v>0</v>
      </c>
      <c r="AZ133" s="37">
        <v>0</v>
      </c>
      <c r="BA133" s="37">
        <v>0</v>
      </c>
      <c r="BB133" s="43">
        <v>308153</v>
      </c>
      <c r="BC133" s="37">
        <v>0</v>
      </c>
      <c r="BD133" s="37">
        <v>0</v>
      </c>
      <c r="BE133" s="37">
        <v>0</v>
      </c>
      <c r="BF133" s="37">
        <v>0</v>
      </c>
      <c r="BG133" s="43">
        <v>773240</v>
      </c>
      <c r="BH133" s="43">
        <v>247415</v>
      </c>
      <c r="BI133" s="37">
        <v>0</v>
      </c>
      <c r="BJ133" s="37">
        <v>0</v>
      </c>
      <c r="BK133" s="37">
        <v>0</v>
      </c>
      <c r="BL133" s="37">
        <v>0</v>
      </c>
      <c r="BM133" s="37">
        <v>0</v>
      </c>
      <c r="BN133" s="37">
        <v>0</v>
      </c>
      <c r="BO133" s="43">
        <v>2318723</v>
      </c>
      <c r="BP133" s="37">
        <v>0</v>
      </c>
      <c r="BQ133" s="43">
        <v>583795</v>
      </c>
      <c r="BR133" s="43">
        <v>2267</v>
      </c>
      <c r="BS133" s="37">
        <v>0</v>
      </c>
      <c r="BT133" s="37">
        <v>0</v>
      </c>
      <c r="BU133" s="37">
        <v>0</v>
      </c>
      <c r="BV133" s="43">
        <v>375347</v>
      </c>
      <c r="BW133" s="43">
        <v>585444</v>
      </c>
      <c r="BX133" s="43">
        <v>10080</v>
      </c>
      <c r="BY133" s="37">
        <v>0</v>
      </c>
      <c r="BZ133" s="37">
        <v>0</v>
      </c>
      <c r="CA133" s="44">
        <f t="shared" si="15"/>
        <v>10785313</v>
      </c>
    </row>
    <row r="134" spans="1:79" x14ac:dyDescent="0.25">
      <c r="A134" s="37" t="s">
        <v>820</v>
      </c>
      <c r="B134" s="37" t="s">
        <v>821</v>
      </c>
      <c r="C134" s="65">
        <v>166325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44">
        <v>0</v>
      </c>
      <c r="AN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37">
        <v>0</v>
      </c>
      <c r="BA134" s="43">
        <v>50245</v>
      </c>
      <c r="BB134" s="37">
        <v>0</v>
      </c>
      <c r="BC134" s="37">
        <v>0</v>
      </c>
      <c r="BD134" s="43">
        <v>552833</v>
      </c>
      <c r="BE134" s="37">
        <v>0</v>
      </c>
      <c r="BF134" s="37">
        <v>0</v>
      </c>
      <c r="BG134" s="37">
        <v>0</v>
      </c>
      <c r="BH134" s="37">
        <v>0</v>
      </c>
      <c r="BI134" s="37">
        <v>0</v>
      </c>
      <c r="BJ134" s="37">
        <v>0</v>
      </c>
      <c r="BK134" s="37">
        <v>0</v>
      </c>
      <c r="BL134" s="37">
        <v>0</v>
      </c>
      <c r="BM134" s="37">
        <v>0</v>
      </c>
      <c r="BN134" s="37">
        <v>0</v>
      </c>
      <c r="BO134" s="37">
        <v>0</v>
      </c>
      <c r="BP134" s="37">
        <v>0</v>
      </c>
      <c r="BQ134" s="37">
        <v>0</v>
      </c>
      <c r="BR134" s="37">
        <v>0</v>
      </c>
      <c r="BS134" s="37">
        <v>0</v>
      </c>
      <c r="BT134" s="37">
        <v>0</v>
      </c>
      <c r="BU134" s="37">
        <v>0</v>
      </c>
      <c r="BV134" s="37">
        <v>0</v>
      </c>
      <c r="BW134" s="37">
        <v>0</v>
      </c>
      <c r="BX134" s="37">
        <v>0</v>
      </c>
      <c r="BY134" s="37">
        <v>0</v>
      </c>
      <c r="BZ134" s="37">
        <v>0</v>
      </c>
      <c r="CA134" s="44">
        <f t="shared" si="15"/>
        <v>769403</v>
      </c>
    </row>
    <row r="135" spans="1:79" x14ac:dyDescent="0.25">
      <c r="A135" s="37" t="s">
        <v>822</v>
      </c>
      <c r="B135" s="37" t="s">
        <v>823</v>
      </c>
      <c r="C135" s="56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44">
        <v>0</v>
      </c>
      <c r="AN135" s="37">
        <v>0</v>
      </c>
      <c r="AP135" s="37">
        <v>0</v>
      </c>
      <c r="AQ135" s="37">
        <v>0</v>
      </c>
      <c r="AR135" s="37">
        <v>0</v>
      </c>
      <c r="AS135" s="37">
        <v>0</v>
      </c>
      <c r="AT135" s="37">
        <v>0</v>
      </c>
      <c r="AU135" s="37">
        <v>0</v>
      </c>
      <c r="AV135" s="37">
        <v>0</v>
      </c>
      <c r="AW135" s="37">
        <v>0</v>
      </c>
      <c r="AX135" s="37">
        <v>0</v>
      </c>
      <c r="AY135" s="37">
        <v>0</v>
      </c>
      <c r="AZ135" s="37">
        <v>0</v>
      </c>
      <c r="BA135" s="37">
        <v>0</v>
      </c>
      <c r="BB135" s="37">
        <v>0</v>
      </c>
      <c r="BC135" s="37">
        <v>0</v>
      </c>
      <c r="BD135" s="37">
        <v>0</v>
      </c>
      <c r="BE135" s="37">
        <v>0</v>
      </c>
      <c r="BF135" s="37">
        <v>0</v>
      </c>
      <c r="BG135" s="43">
        <v>745268</v>
      </c>
      <c r="BH135" s="43">
        <v>2000000</v>
      </c>
      <c r="BI135" s="37">
        <v>0</v>
      </c>
      <c r="BJ135" s="37">
        <v>0</v>
      </c>
      <c r="BK135" s="37">
        <v>0</v>
      </c>
      <c r="BL135" s="37">
        <v>0</v>
      </c>
      <c r="BM135" s="37">
        <v>0</v>
      </c>
      <c r="BN135" s="37">
        <v>0</v>
      </c>
      <c r="BO135" s="37">
        <v>0</v>
      </c>
      <c r="BP135" s="37">
        <v>0</v>
      </c>
      <c r="BQ135" s="37">
        <v>0</v>
      </c>
      <c r="BR135" s="37">
        <v>0</v>
      </c>
      <c r="BS135" s="37">
        <v>0</v>
      </c>
      <c r="BT135" s="37">
        <v>0</v>
      </c>
      <c r="BU135" s="37">
        <v>0</v>
      </c>
      <c r="BV135" s="37">
        <v>0</v>
      </c>
      <c r="BW135" s="37">
        <v>0</v>
      </c>
      <c r="BX135" s="37">
        <v>0</v>
      </c>
      <c r="BY135" s="37">
        <v>0</v>
      </c>
      <c r="BZ135" s="37">
        <v>0</v>
      </c>
      <c r="CA135" s="44">
        <f t="shared" ref="CA135:CA142" si="22">SUM(C135:BZ135)</f>
        <v>2745268</v>
      </c>
    </row>
    <row r="136" spans="1:79" x14ac:dyDescent="0.25">
      <c r="A136" s="37" t="s">
        <v>824</v>
      </c>
      <c r="B136" s="37" t="s">
        <v>825</v>
      </c>
      <c r="C136" s="56"/>
      <c r="AM136" s="44"/>
      <c r="CA136" s="44">
        <f t="shared" si="22"/>
        <v>0</v>
      </c>
    </row>
    <row r="137" spans="1:79" x14ac:dyDescent="0.25">
      <c r="A137" s="37" t="s">
        <v>826</v>
      </c>
      <c r="B137" s="37" t="s">
        <v>827</v>
      </c>
      <c r="C137" s="65">
        <v>54950</v>
      </c>
      <c r="D137" s="43">
        <v>413927</v>
      </c>
      <c r="E137" s="43">
        <v>511354</v>
      </c>
      <c r="F137" s="43">
        <v>845910</v>
      </c>
      <c r="G137" s="43">
        <v>20496</v>
      </c>
      <c r="H137" s="43">
        <v>470100</v>
      </c>
      <c r="I137" s="37">
        <v>0</v>
      </c>
      <c r="J137" s="43">
        <v>1056061</v>
      </c>
      <c r="K137" s="43">
        <v>716525</v>
      </c>
      <c r="L137" s="43">
        <v>218389</v>
      </c>
      <c r="M137" s="43">
        <v>1225030</v>
      </c>
      <c r="N137" s="43">
        <v>4536618</v>
      </c>
      <c r="O137" s="43">
        <v>1236706</v>
      </c>
      <c r="P137" s="43">
        <v>2877</v>
      </c>
      <c r="Q137" s="43">
        <v>6093172</v>
      </c>
      <c r="R137" s="43">
        <v>116047</v>
      </c>
      <c r="S137" s="43">
        <v>520095</v>
      </c>
      <c r="T137" s="43">
        <v>475982</v>
      </c>
      <c r="V137" s="43">
        <v>814985</v>
      </c>
      <c r="W137" s="43">
        <v>2393366</v>
      </c>
      <c r="X137" s="37">
        <v>0</v>
      </c>
      <c r="Y137" s="43">
        <v>519714</v>
      </c>
      <c r="Z137" s="43">
        <v>1414636</v>
      </c>
      <c r="AA137" s="43">
        <v>85904</v>
      </c>
      <c r="AB137" s="43">
        <v>72184</v>
      </c>
      <c r="AC137" s="43">
        <v>149503</v>
      </c>
      <c r="AD137" s="43">
        <v>2823191</v>
      </c>
      <c r="AE137" s="37">
        <v>0</v>
      </c>
      <c r="AF137" s="43">
        <v>339376</v>
      </c>
      <c r="AG137" s="43">
        <v>89433</v>
      </c>
      <c r="AH137" s="43">
        <v>403989</v>
      </c>
      <c r="AI137" s="43">
        <v>9333950</v>
      </c>
      <c r="AJ137" s="43">
        <v>1119477</v>
      </c>
      <c r="AK137" s="37">
        <v>0</v>
      </c>
      <c r="AL137" s="37">
        <v>0</v>
      </c>
      <c r="AM137" s="44">
        <v>799189</v>
      </c>
      <c r="AN137" s="43">
        <v>4291822</v>
      </c>
      <c r="AP137" s="43">
        <v>681649</v>
      </c>
      <c r="AQ137" s="43">
        <v>743676</v>
      </c>
      <c r="AR137" s="43">
        <v>892626</v>
      </c>
      <c r="AS137" s="43">
        <v>604547</v>
      </c>
      <c r="AT137" s="43">
        <v>339848</v>
      </c>
      <c r="AU137" s="43">
        <v>1277427</v>
      </c>
      <c r="AV137" s="37">
        <v>0</v>
      </c>
      <c r="AW137" s="37">
        <v>482</v>
      </c>
      <c r="AX137" s="43">
        <v>30575</v>
      </c>
      <c r="AY137" s="43">
        <v>474407</v>
      </c>
      <c r="AZ137" s="43">
        <v>240880</v>
      </c>
      <c r="BA137" s="43">
        <v>168474</v>
      </c>
      <c r="BB137" s="43">
        <v>447852</v>
      </c>
      <c r="BC137" s="43">
        <v>640361</v>
      </c>
      <c r="BD137" s="43">
        <v>184836</v>
      </c>
      <c r="BE137" s="43">
        <v>4437151</v>
      </c>
      <c r="BF137" s="43">
        <v>1034927</v>
      </c>
      <c r="BG137" s="43">
        <v>2692888</v>
      </c>
      <c r="BH137" s="43">
        <v>3272586</v>
      </c>
      <c r="BI137" s="43">
        <v>163333</v>
      </c>
      <c r="BJ137" s="37">
        <v>0</v>
      </c>
      <c r="BK137" s="43">
        <v>6532</v>
      </c>
      <c r="BL137" s="43">
        <v>398095</v>
      </c>
      <c r="BM137" s="37">
        <v>0</v>
      </c>
      <c r="BN137" s="43">
        <v>535711</v>
      </c>
      <c r="BO137" s="43">
        <v>361180</v>
      </c>
      <c r="BP137" s="43">
        <v>347027</v>
      </c>
      <c r="BQ137" s="43">
        <v>1586201</v>
      </c>
      <c r="BR137" s="43">
        <v>987027</v>
      </c>
      <c r="BS137" s="43">
        <v>2137076</v>
      </c>
      <c r="BT137" s="43">
        <v>697060</v>
      </c>
      <c r="BU137" s="37">
        <v>0</v>
      </c>
      <c r="BV137" s="43">
        <v>409103</v>
      </c>
      <c r="BW137" s="37">
        <v>0</v>
      </c>
      <c r="BX137" s="37">
        <v>0</v>
      </c>
      <c r="BY137" s="43">
        <v>1414344</v>
      </c>
      <c r="BZ137" s="43">
        <v>194032</v>
      </c>
      <c r="CA137" s="44">
        <f t="shared" si="22"/>
        <v>70566871</v>
      </c>
    </row>
    <row r="138" spans="1:79" x14ac:dyDescent="0.25">
      <c r="A138" s="37" t="s">
        <v>828</v>
      </c>
      <c r="B138" s="37" t="s">
        <v>829</v>
      </c>
      <c r="C138" s="56">
        <v>730</v>
      </c>
      <c r="D138" s="43">
        <v>120948</v>
      </c>
      <c r="E138" s="43">
        <v>48750</v>
      </c>
      <c r="F138" s="43">
        <v>394364</v>
      </c>
      <c r="G138" s="43">
        <v>217608</v>
      </c>
      <c r="H138" s="43">
        <v>110000</v>
      </c>
      <c r="I138" s="37">
        <v>0</v>
      </c>
      <c r="J138" s="43">
        <v>504707</v>
      </c>
      <c r="K138" s="37">
        <v>0</v>
      </c>
      <c r="L138" s="37">
        <v>0</v>
      </c>
      <c r="M138" s="37">
        <v>0</v>
      </c>
      <c r="N138" s="43">
        <v>93298</v>
      </c>
      <c r="O138" s="43">
        <v>2595319</v>
      </c>
      <c r="P138" s="37">
        <v>0</v>
      </c>
      <c r="Q138" s="43">
        <v>1698418</v>
      </c>
      <c r="R138" s="43">
        <v>498496</v>
      </c>
      <c r="S138" s="37">
        <v>0</v>
      </c>
      <c r="T138" s="43">
        <v>225078</v>
      </c>
      <c r="V138" s="37">
        <v>0</v>
      </c>
      <c r="W138" s="43">
        <v>195000</v>
      </c>
      <c r="X138" s="43">
        <v>18639</v>
      </c>
      <c r="Y138" s="43">
        <v>219851</v>
      </c>
      <c r="Z138" s="43">
        <v>114903</v>
      </c>
      <c r="AA138" s="37">
        <v>0</v>
      </c>
      <c r="AB138" s="37">
        <v>0</v>
      </c>
      <c r="AC138" s="37">
        <v>0</v>
      </c>
      <c r="AD138" s="37">
        <v>986</v>
      </c>
      <c r="AE138" s="37">
        <v>0</v>
      </c>
      <c r="AF138" s="37">
        <v>0</v>
      </c>
      <c r="AG138" s="43">
        <v>54360</v>
      </c>
      <c r="AH138" s="37">
        <v>0</v>
      </c>
      <c r="AI138" s="43">
        <v>2211000</v>
      </c>
      <c r="AJ138" s="43">
        <v>230651</v>
      </c>
      <c r="AK138" s="37">
        <v>0</v>
      </c>
      <c r="AL138" s="37">
        <v>0</v>
      </c>
      <c r="AM138" s="44">
        <v>0</v>
      </c>
      <c r="AN138" s="43">
        <v>2124228</v>
      </c>
      <c r="AP138" s="43">
        <v>457191</v>
      </c>
      <c r="AQ138" s="43">
        <v>385734</v>
      </c>
      <c r="AR138" s="43">
        <v>81125</v>
      </c>
      <c r="AS138" s="43">
        <v>147844</v>
      </c>
      <c r="AT138" s="43">
        <v>109283</v>
      </c>
      <c r="AU138" s="43">
        <v>1100763</v>
      </c>
      <c r="AV138" s="37">
        <v>0</v>
      </c>
      <c r="AW138" s="43">
        <v>166653</v>
      </c>
      <c r="AX138" s="43">
        <v>114749</v>
      </c>
      <c r="AY138" s="43">
        <v>431238</v>
      </c>
      <c r="AZ138" s="43">
        <v>25276</v>
      </c>
      <c r="BA138" s="43">
        <v>50000</v>
      </c>
      <c r="BB138" s="43">
        <v>239492</v>
      </c>
      <c r="BC138" s="43">
        <v>233112</v>
      </c>
      <c r="BD138" s="37">
        <v>0</v>
      </c>
      <c r="BE138" s="43">
        <v>628516</v>
      </c>
      <c r="BF138" s="43">
        <v>381476</v>
      </c>
      <c r="BG138" s="43">
        <v>338485</v>
      </c>
      <c r="BH138" s="43">
        <v>339807</v>
      </c>
      <c r="BI138" s="37">
        <v>0</v>
      </c>
      <c r="BJ138" s="37">
        <v>0</v>
      </c>
      <c r="BK138" s="37">
        <v>0</v>
      </c>
      <c r="BL138" s="43">
        <v>150000</v>
      </c>
      <c r="BM138" s="43">
        <v>101789</v>
      </c>
      <c r="BN138" s="43">
        <v>642935</v>
      </c>
      <c r="BO138" s="43">
        <v>1178492</v>
      </c>
      <c r="BP138" s="43">
        <v>108069</v>
      </c>
      <c r="BQ138" s="43">
        <v>137108</v>
      </c>
      <c r="BR138" s="37">
        <v>0</v>
      </c>
      <c r="BS138" s="43">
        <v>425385</v>
      </c>
      <c r="BT138" s="43">
        <v>135861</v>
      </c>
      <c r="BU138" s="37">
        <v>0</v>
      </c>
      <c r="BV138" s="37">
        <v>0</v>
      </c>
      <c r="BW138" s="43">
        <v>352236</v>
      </c>
      <c r="BX138" s="37">
        <v>0</v>
      </c>
      <c r="BY138" s="37">
        <v>0</v>
      </c>
      <c r="BZ138" s="37">
        <v>0</v>
      </c>
      <c r="CA138" s="44">
        <f t="shared" si="22"/>
        <v>20139953</v>
      </c>
    </row>
    <row r="139" spans="1:79" x14ac:dyDescent="0.25">
      <c r="A139" s="37" t="s">
        <v>830</v>
      </c>
      <c r="B139" s="37" t="s">
        <v>831</v>
      </c>
      <c r="C139" s="56">
        <v>0</v>
      </c>
      <c r="D139" s="37">
        <v>0</v>
      </c>
      <c r="E139" s="37">
        <v>0</v>
      </c>
      <c r="F139" s="43">
        <v>4655000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44">
        <v>0</v>
      </c>
      <c r="AN139" s="37">
        <v>0</v>
      </c>
      <c r="AP139" s="37">
        <v>0</v>
      </c>
      <c r="AQ139" s="37">
        <v>0</v>
      </c>
      <c r="AR139" s="37">
        <v>0</v>
      </c>
      <c r="AS139" s="37">
        <v>0</v>
      </c>
      <c r="AT139" s="37">
        <v>0</v>
      </c>
      <c r="AU139" s="37">
        <v>0</v>
      </c>
      <c r="AV139" s="37">
        <v>0</v>
      </c>
      <c r="AW139" s="37">
        <v>0</v>
      </c>
      <c r="AX139" s="37">
        <v>0</v>
      </c>
      <c r="AY139" s="37">
        <v>0</v>
      </c>
      <c r="AZ139" s="37">
        <v>0</v>
      </c>
      <c r="BA139" s="37">
        <v>0</v>
      </c>
      <c r="BB139" s="37">
        <v>0</v>
      </c>
      <c r="BC139" s="37">
        <v>0</v>
      </c>
      <c r="BD139" s="37">
        <v>0</v>
      </c>
      <c r="BE139" s="37">
        <v>0</v>
      </c>
      <c r="BF139" s="37">
        <v>0</v>
      </c>
      <c r="BG139" s="37">
        <v>0</v>
      </c>
      <c r="BH139" s="37">
        <v>0</v>
      </c>
      <c r="BI139" s="37">
        <v>0</v>
      </c>
      <c r="BJ139" s="37">
        <v>0</v>
      </c>
      <c r="BK139" s="37">
        <v>0</v>
      </c>
      <c r="BL139" s="37">
        <v>0</v>
      </c>
      <c r="BM139" s="37">
        <v>0</v>
      </c>
      <c r="BN139" s="37">
        <v>0</v>
      </c>
      <c r="BO139" s="37">
        <v>0</v>
      </c>
      <c r="BP139" s="37">
        <v>0</v>
      </c>
      <c r="BQ139" s="37">
        <v>0</v>
      </c>
      <c r="BR139" s="37">
        <v>0</v>
      </c>
      <c r="BS139" s="37">
        <v>0</v>
      </c>
      <c r="BT139" s="37">
        <v>0</v>
      </c>
      <c r="BU139" s="37">
        <v>0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44">
        <f t="shared" si="22"/>
        <v>4655000</v>
      </c>
    </row>
    <row r="140" spans="1:79" x14ac:dyDescent="0.25">
      <c r="A140" s="37" t="s">
        <v>688</v>
      </c>
      <c r="B140" s="37" t="s">
        <v>832</v>
      </c>
      <c r="C140" s="65">
        <f>SUM(C127:C139)</f>
        <v>5745659</v>
      </c>
      <c r="D140" s="65">
        <f t="shared" ref="D140:BO140" si="23">SUM(D127:D139)</f>
        <v>18847176</v>
      </c>
      <c r="E140" s="65">
        <f t="shared" si="23"/>
        <v>1550928</v>
      </c>
      <c r="F140" s="65">
        <f t="shared" si="23"/>
        <v>13727776</v>
      </c>
      <c r="G140" s="65">
        <f t="shared" si="23"/>
        <v>5171323</v>
      </c>
      <c r="H140" s="65">
        <f t="shared" si="23"/>
        <v>3407596</v>
      </c>
      <c r="I140" s="65">
        <f t="shared" si="23"/>
        <v>8653253</v>
      </c>
      <c r="J140" s="65">
        <f t="shared" si="23"/>
        <v>27159149</v>
      </c>
      <c r="K140" s="65">
        <f t="shared" si="23"/>
        <v>3669013</v>
      </c>
      <c r="L140" s="65">
        <f t="shared" si="23"/>
        <v>1804852</v>
      </c>
      <c r="M140" s="65">
        <f t="shared" si="23"/>
        <v>2407329</v>
      </c>
      <c r="N140" s="65">
        <f t="shared" si="23"/>
        <v>7450268</v>
      </c>
      <c r="O140" s="65">
        <f t="shared" si="23"/>
        <v>111514601</v>
      </c>
      <c r="P140" s="65">
        <f t="shared" si="23"/>
        <v>5556926</v>
      </c>
      <c r="Q140" s="65">
        <f t="shared" si="23"/>
        <v>119249532</v>
      </c>
      <c r="R140" s="65">
        <f t="shared" si="23"/>
        <v>14239472</v>
      </c>
      <c r="S140" s="65">
        <f t="shared" si="23"/>
        <v>19044881</v>
      </c>
      <c r="T140" s="65">
        <f t="shared" si="23"/>
        <v>9966628</v>
      </c>
      <c r="U140" s="65">
        <f t="shared" si="23"/>
        <v>0</v>
      </c>
      <c r="V140" s="65">
        <f t="shared" si="23"/>
        <v>23615473</v>
      </c>
      <c r="W140" s="65">
        <f t="shared" si="23"/>
        <v>32187382</v>
      </c>
      <c r="X140" s="65">
        <f t="shared" si="23"/>
        <v>1194066</v>
      </c>
      <c r="Y140" s="65">
        <f t="shared" si="23"/>
        <v>1379456</v>
      </c>
      <c r="Z140" s="65">
        <f t="shared" si="23"/>
        <v>51838060</v>
      </c>
      <c r="AA140" s="65">
        <f t="shared" si="23"/>
        <v>1470651</v>
      </c>
      <c r="AB140" s="65">
        <f t="shared" si="23"/>
        <v>3191215</v>
      </c>
      <c r="AC140" s="65">
        <f t="shared" si="23"/>
        <v>4631297</v>
      </c>
      <c r="AD140" s="65">
        <f t="shared" si="23"/>
        <v>20192142</v>
      </c>
      <c r="AE140" s="65">
        <f t="shared" si="23"/>
        <v>22650</v>
      </c>
      <c r="AF140" s="65">
        <f t="shared" si="23"/>
        <v>3046014</v>
      </c>
      <c r="AG140" s="65">
        <f t="shared" si="23"/>
        <v>1248457</v>
      </c>
      <c r="AH140" s="65">
        <f t="shared" si="23"/>
        <v>3666760</v>
      </c>
      <c r="AI140" s="65">
        <f t="shared" si="23"/>
        <v>316763536</v>
      </c>
      <c r="AJ140" s="65">
        <f t="shared" si="23"/>
        <v>19430582</v>
      </c>
      <c r="AK140" s="65">
        <f t="shared" si="23"/>
        <v>1030446</v>
      </c>
      <c r="AL140" s="65">
        <f t="shared" si="23"/>
        <v>1379608</v>
      </c>
      <c r="AM140" s="66">
        <v>10330725</v>
      </c>
      <c r="AN140" s="65">
        <f t="shared" si="23"/>
        <v>119724146</v>
      </c>
      <c r="AO140" s="65">
        <f t="shared" si="23"/>
        <v>0</v>
      </c>
      <c r="AP140" s="65">
        <f t="shared" si="23"/>
        <v>29796232</v>
      </c>
      <c r="AQ140" s="65">
        <f t="shared" si="23"/>
        <v>43132636</v>
      </c>
      <c r="AR140" s="65">
        <f t="shared" si="23"/>
        <v>11637762</v>
      </c>
      <c r="AS140" s="65">
        <f t="shared" si="23"/>
        <v>5810544</v>
      </c>
      <c r="AT140" s="65">
        <f t="shared" si="23"/>
        <v>2355210</v>
      </c>
      <c r="AU140" s="65">
        <f t="shared" si="23"/>
        <v>49217224</v>
      </c>
      <c r="AV140" s="65">
        <f t="shared" si="23"/>
        <v>21316958</v>
      </c>
      <c r="AW140" s="65">
        <f t="shared" si="23"/>
        <v>6565276</v>
      </c>
      <c r="AX140" s="65">
        <f t="shared" si="23"/>
        <v>3423130</v>
      </c>
      <c r="AY140" s="65">
        <f t="shared" si="23"/>
        <v>12836026</v>
      </c>
      <c r="AZ140" s="65">
        <f t="shared" si="23"/>
        <v>2001569</v>
      </c>
      <c r="BA140" s="65">
        <f t="shared" si="23"/>
        <v>1098482</v>
      </c>
      <c r="BB140" s="65">
        <f t="shared" si="23"/>
        <v>4775668</v>
      </c>
      <c r="BC140" s="65">
        <f t="shared" si="23"/>
        <v>16452659</v>
      </c>
      <c r="BD140" s="65">
        <f t="shared" si="23"/>
        <v>12122898</v>
      </c>
      <c r="BE140" s="65">
        <f t="shared" si="23"/>
        <v>26332313</v>
      </c>
      <c r="BF140" s="65">
        <f t="shared" si="23"/>
        <v>46590464</v>
      </c>
      <c r="BG140" s="65">
        <f t="shared" si="23"/>
        <v>76367030</v>
      </c>
      <c r="BH140" s="65">
        <f t="shared" si="23"/>
        <v>29652323</v>
      </c>
      <c r="BI140" s="65">
        <f t="shared" si="23"/>
        <v>2302637</v>
      </c>
      <c r="BJ140" s="65">
        <f t="shared" si="23"/>
        <v>12047900</v>
      </c>
      <c r="BK140" s="65">
        <f t="shared" si="23"/>
        <v>49224645</v>
      </c>
      <c r="BL140" s="65">
        <f t="shared" si="23"/>
        <v>8706417</v>
      </c>
      <c r="BM140" s="65">
        <f t="shared" si="23"/>
        <v>9765509</v>
      </c>
      <c r="BN140" s="65">
        <f t="shared" si="23"/>
        <v>33222067</v>
      </c>
      <c r="BO140" s="65">
        <f t="shared" si="23"/>
        <v>25351447</v>
      </c>
      <c r="BP140" s="65">
        <f t="shared" ref="BP140:BZ140" si="24">SUM(BP127:BP139)</f>
        <v>15358544</v>
      </c>
      <c r="BQ140" s="65">
        <f t="shared" si="24"/>
        <v>28558929</v>
      </c>
      <c r="BR140" s="65">
        <f t="shared" si="24"/>
        <v>9127340</v>
      </c>
      <c r="BS140" s="65">
        <f t="shared" si="24"/>
        <v>9534727</v>
      </c>
      <c r="BT140" s="65">
        <f t="shared" si="24"/>
        <v>8975282</v>
      </c>
      <c r="BU140" s="65">
        <f t="shared" si="24"/>
        <v>9234920</v>
      </c>
      <c r="BV140" s="65">
        <f t="shared" si="24"/>
        <v>35710869</v>
      </c>
      <c r="BW140" s="65">
        <f t="shared" si="24"/>
        <v>29149429</v>
      </c>
      <c r="BX140" s="65">
        <f t="shared" si="24"/>
        <v>19959040</v>
      </c>
      <c r="BY140" s="65">
        <f t="shared" si="24"/>
        <v>19956559</v>
      </c>
      <c r="BZ140" s="65">
        <f t="shared" si="24"/>
        <v>2372251</v>
      </c>
      <c r="CA140" s="44">
        <f t="shared" si="22"/>
        <v>1725551944</v>
      </c>
    </row>
    <row r="141" spans="1:79" x14ac:dyDescent="0.25">
      <c r="A141" s="37" t="s">
        <v>688</v>
      </c>
      <c r="B141" s="37" t="s">
        <v>833</v>
      </c>
      <c r="C141" s="43">
        <f>SUM(C119:C139)</f>
        <v>5770240</v>
      </c>
      <c r="D141" s="43">
        <f t="shared" ref="D141:BO141" si="25">SUM(D119:D139)</f>
        <v>19250454</v>
      </c>
      <c r="E141" s="43">
        <f t="shared" si="25"/>
        <v>1590981</v>
      </c>
      <c r="F141" s="43">
        <f t="shared" si="25"/>
        <v>14583994</v>
      </c>
      <c r="G141" s="43">
        <f t="shared" si="25"/>
        <v>5304357</v>
      </c>
      <c r="H141" s="43">
        <f t="shared" si="25"/>
        <v>3444958</v>
      </c>
      <c r="I141" s="43">
        <f t="shared" si="25"/>
        <v>8733404</v>
      </c>
      <c r="J141" s="43">
        <f t="shared" si="25"/>
        <v>27406773</v>
      </c>
      <c r="K141" s="43">
        <f t="shared" si="25"/>
        <v>3700627</v>
      </c>
      <c r="L141" s="43">
        <f t="shared" si="25"/>
        <v>1809852</v>
      </c>
      <c r="M141" s="43">
        <f t="shared" si="25"/>
        <v>2415476</v>
      </c>
      <c r="N141" s="43">
        <f t="shared" si="25"/>
        <v>7771789</v>
      </c>
      <c r="O141" s="43">
        <f t="shared" si="25"/>
        <v>112049323</v>
      </c>
      <c r="P141" s="43">
        <f t="shared" si="25"/>
        <v>5579316</v>
      </c>
      <c r="Q141" s="43">
        <f t="shared" si="25"/>
        <v>139398653</v>
      </c>
      <c r="R141" s="43">
        <f t="shared" si="25"/>
        <v>14339440</v>
      </c>
      <c r="S141" s="43">
        <f t="shared" si="25"/>
        <v>19070558</v>
      </c>
      <c r="T141" s="43">
        <f t="shared" si="25"/>
        <v>10028846</v>
      </c>
      <c r="U141" s="43">
        <f t="shared" si="25"/>
        <v>0</v>
      </c>
      <c r="V141" s="43">
        <f t="shared" si="25"/>
        <v>23711298</v>
      </c>
      <c r="W141" s="43">
        <f t="shared" si="25"/>
        <v>36911568</v>
      </c>
      <c r="X141" s="43">
        <f t="shared" si="25"/>
        <v>1485457</v>
      </c>
      <c r="Y141" s="43">
        <f t="shared" si="25"/>
        <v>2153460</v>
      </c>
      <c r="Z141" s="43">
        <f t="shared" si="25"/>
        <v>51955734</v>
      </c>
      <c r="AA141" s="43">
        <f t="shared" si="25"/>
        <v>1554161</v>
      </c>
      <c r="AB141" s="43">
        <f t="shared" si="25"/>
        <v>3249123</v>
      </c>
      <c r="AC141" s="43">
        <f t="shared" si="25"/>
        <v>5382978</v>
      </c>
      <c r="AD141" s="43">
        <f t="shared" si="25"/>
        <v>20351914</v>
      </c>
      <c r="AE141" s="43">
        <f t="shared" si="25"/>
        <v>22650</v>
      </c>
      <c r="AF141" s="43">
        <f t="shared" si="25"/>
        <v>3085626</v>
      </c>
      <c r="AG141" s="43">
        <f t="shared" si="25"/>
        <v>1296411</v>
      </c>
      <c r="AH141" s="43">
        <f t="shared" si="25"/>
        <v>3750623</v>
      </c>
      <c r="AI141" s="43">
        <f t="shared" si="25"/>
        <v>317600907</v>
      </c>
      <c r="AJ141" s="43">
        <f t="shared" si="25"/>
        <v>20052394</v>
      </c>
      <c r="AK141" s="43">
        <f t="shared" si="25"/>
        <v>1038644</v>
      </c>
      <c r="AL141" s="43">
        <f t="shared" si="25"/>
        <v>1434268</v>
      </c>
      <c r="AM141" s="43">
        <f t="shared" si="25"/>
        <v>10372679</v>
      </c>
      <c r="AN141" s="43">
        <f t="shared" si="25"/>
        <v>120309453</v>
      </c>
      <c r="AO141" s="43">
        <f t="shared" si="25"/>
        <v>0</v>
      </c>
      <c r="AP141" s="43">
        <f t="shared" si="25"/>
        <v>29868882</v>
      </c>
      <c r="AQ141" s="43">
        <f t="shared" si="25"/>
        <v>43704213</v>
      </c>
      <c r="AR141" s="43">
        <f t="shared" si="25"/>
        <v>11637762</v>
      </c>
      <c r="AS141" s="43">
        <f t="shared" si="25"/>
        <v>5902544</v>
      </c>
      <c r="AT141" s="43">
        <f t="shared" si="25"/>
        <v>3981441</v>
      </c>
      <c r="AU141" s="43">
        <f t="shared" si="25"/>
        <v>49397593</v>
      </c>
      <c r="AV141" s="43">
        <f t="shared" si="25"/>
        <v>21331736</v>
      </c>
      <c r="AW141" s="43">
        <f t="shared" si="25"/>
        <v>6600281</v>
      </c>
      <c r="AX141" s="43">
        <f t="shared" si="25"/>
        <v>3465832</v>
      </c>
      <c r="AY141" s="43">
        <f t="shared" si="25"/>
        <v>13025249</v>
      </c>
      <c r="AZ141" s="43">
        <f t="shared" si="25"/>
        <v>2050052</v>
      </c>
      <c r="BA141" s="43">
        <f t="shared" si="25"/>
        <v>1197384</v>
      </c>
      <c r="BB141" s="43">
        <f t="shared" si="25"/>
        <v>4799115</v>
      </c>
      <c r="BC141" s="43">
        <f t="shared" si="25"/>
        <v>16584769</v>
      </c>
      <c r="BD141" s="43">
        <f t="shared" si="25"/>
        <v>12410927</v>
      </c>
      <c r="BE141" s="43">
        <f t="shared" si="25"/>
        <v>26563114</v>
      </c>
      <c r="BF141" s="43">
        <f t="shared" si="25"/>
        <v>46927040</v>
      </c>
      <c r="BG141" s="43">
        <f t="shared" si="25"/>
        <v>76405542</v>
      </c>
      <c r="BH141" s="43">
        <f t="shared" si="25"/>
        <v>31367675</v>
      </c>
      <c r="BI141" s="43">
        <f t="shared" si="25"/>
        <v>2338901</v>
      </c>
      <c r="BJ141" s="43">
        <f t="shared" si="25"/>
        <v>12238228</v>
      </c>
      <c r="BK141" s="43">
        <f t="shared" si="25"/>
        <v>52294954</v>
      </c>
      <c r="BL141" s="43">
        <f t="shared" si="25"/>
        <v>8897491</v>
      </c>
      <c r="BM141" s="43">
        <f t="shared" si="25"/>
        <v>9816700</v>
      </c>
      <c r="BN141" s="43">
        <f t="shared" si="25"/>
        <v>33706860</v>
      </c>
      <c r="BO141" s="43">
        <f t="shared" si="25"/>
        <v>29065463</v>
      </c>
      <c r="BP141" s="43">
        <f t="shared" ref="BP141:CA141" si="26">SUM(BP119:BP139)</f>
        <v>17976493</v>
      </c>
      <c r="BQ141" s="43">
        <f t="shared" si="26"/>
        <v>28770364</v>
      </c>
      <c r="BR141" s="43">
        <f t="shared" si="26"/>
        <v>9191352</v>
      </c>
      <c r="BS141" s="43">
        <f t="shared" si="26"/>
        <v>9598967</v>
      </c>
      <c r="BT141" s="43">
        <f t="shared" si="26"/>
        <v>9044073</v>
      </c>
      <c r="BU141" s="43">
        <f t="shared" si="26"/>
        <v>9377476</v>
      </c>
      <c r="BV141" s="43">
        <f t="shared" si="26"/>
        <v>35968849</v>
      </c>
      <c r="BW141" s="43">
        <f t="shared" si="26"/>
        <v>29264877</v>
      </c>
      <c r="BX141" s="43">
        <f t="shared" si="26"/>
        <v>20634072</v>
      </c>
      <c r="BY141" s="43">
        <f t="shared" si="26"/>
        <v>20328216</v>
      </c>
      <c r="BZ141" s="43">
        <f t="shared" si="26"/>
        <v>2372251</v>
      </c>
      <c r="CA141" s="43">
        <f t="shared" si="26"/>
        <v>1776075127</v>
      </c>
    </row>
    <row r="142" spans="1:79" x14ac:dyDescent="0.25">
      <c r="A142" s="60" t="s">
        <v>834</v>
      </c>
      <c r="B142" s="60" t="s">
        <v>835</v>
      </c>
      <c r="C142" s="43">
        <v>1255159</v>
      </c>
      <c r="D142" s="43">
        <v>45842410</v>
      </c>
      <c r="E142" s="43">
        <v>1365615</v>
      </c>
      <c r="F142" s="43">
        <v>14069392</v>
      </c>
      <c r="G142" s="43">
        <v>3144568</v>
      </c>
      <c r="H142" s="43">
        <v>4067443</v>
      </c>
      <c r="I142" s="43">
        <v>10120291</v>
      </c>
      <c r="J142" s="43">
        <v>15070912</v>
      </c>
      <c r="K142" s="43">
        <v>1941648</v>
      </c>
      <c r="L142" s="43">
        <v>1513214</v>
      </c>
      <c r="M142" s="43">
        <v>1272083</v>
      </c>
      <c r="N142" s="43">
        <v>88229442</v>
      </c>
      <c r="O142" s="43">
        <v>53217782</v>
      </c>
      <c r="P142" s="43">
        <v>2281010</v>
      </c>
      <c r="Q142" s="43">
        <v>75707091</v>
      </c>
      <c r="R142" s="43">
        <v>40467914</v>
      </c>
      <c r="S142" s="43">
        <v>2222175</v>
      </c>
      <c r="T142" s="43">
        <v>6675352</v>
      </c>
      <c r="V142" s="43">
        <v>9327946</v>
      </c>
      <c r="W142" s="43">
        <v>5531694</v>
      </c>
      <c r="X142" s="43">
        <v>50629</v>
      </c>
      <c r="Y142" s="37">
        <v>0</v>
      </c>
      <c r="Z142" s="43">
        <v>34013131</v>
      </c>
      <c r="AA142" s="43">
        <v>4121797</v>
      </c>
      <c r="AB142" s="43">
        <v>4916998</v>
      </c>
      <c r="AC142" s="43">
        <v>1469261</v>
      </c>
      <c r="AD142" s="43">
        <v>22775514</v>
      </c>
      <c r="AE142" s="43">
        <v>672777</v>
      </c>
      <c r="AF142" s="43">
        <v>939952</v>
      </c>
      <c r="AG142" s="43">
        <v>374599</v>
      </c>
      <c r="AH142" s="43">
        <v>13782423</v>
      </c>
      <c r="AI142" s="43">
        <v>85258349</v>
      </c>
      <c r="AJ142" s="43">
        <v>9565901</v>
      </c>
      <c r="AK142" s="43">
        <v>167730</v>
      </c>
      <c r="AL142" s="43">
        <v>2560700</v>
      </c>
      <c r="AM142" s="44">
        <v>3483510</v>
      </c>
      <c r="AN142" s="43">
        <v>60313152</v>
      </c>
      <c r="AP142" s="43">
        <v>24478321</v>
      </c>
      <c r="AQ142" s="43">
        <v>19618151</v>
      </c>
      <c r="AR142" s="43">
        <v>3233200</v>
      </c>
      <c r="AS142" s="43">
        <v>3522404</v>
      </c>
      <c r="AT142" s="43">
        <v>3362961</v>
      </c>
      <c r="AU142" s="43">
        <v>53457811</v>
      </c>
      <c r="AV142" s="43">
        <v>17345235</v>
      </c>
      <c r="AW142" s="43">
        <v>48098961</v>
      </c>
      <c r="AX142" s="43">
        <v>5723764</v>
      </c>
      <c r="AY142" s="43">
        <v>39471209</v>
      </c>
      <c r="AZ142" s="43">
        <v>28134</v>
      </c>
      <c r="BA142" s="43">
        <v>10468</v>
      </c>
      <c r="BB142" s="43">
        <v>3921399</v>
      </c>
      <c r="BC142" s="43">
        <v>5751384</v>
      </c>
      <c r="BD142" s="43">
        <v>18372318</v>
      </c>
      <c r="BE142" s="43">
        <v>18407959</v>
      </c>
      <c r="BF142" s="43">
        <v>35714636</v>
      </c>
      <c r="BG142" s="43">
        <v>47687962</v>
      </c>
      <c r="BH142" s="43">
        <v>64251580</v>
      </c>
      <c r="BI142" s="43">
        <v>2116310</v>
      </c>
      <c r="BJ142" s="43">
        <v>7773705</v>
      </c>
      <c r="BK142" s="43">
        <v>14806517</v>
      </c>
      <c r="BL142" s="43">
        <v>2883641</v>
      </c>
      <c r="BM142" s="43">
        <v>4281364</v>
      </c>
      <c r="BN142" s="43">
        <v>16057038</v>
      </c>
      <c r="BO142" s="43">
        <v>30329107</v>
      </c>
      <c r="BP142" s="43">
        <v>15647697</v>
      </c>
      <c r="BQ142" s="43">
        <v>8452624</v>
      </c>
      <c r="BR142" s="43">
        <v>3008174</v>
      </c>
      <c r="BS142" s="43">
        <v>1632528</v>
      </c>
      <c r="BT142" s="43">
        <v>8427725</v>
      </c>
      <c r="BU142" s="43">
        <v>8821173</v>
      </c>
      <c r="BV142" s="43">
        <v>16412688</v>
      </c>
      <c r="BW142" s="43">
        <v>77876662</v>
      </c>
      <c r="BX142" s="43">
        <v>19914160</v>
      </c>
      <c r="BY142" s="43">
        <v>13137642</v>
      </c>
      <c r="BZ142" s="43">
        <v>1996716</v>
      </c>
      <c r="CA142" s="44">
        <f t="shared" si="22"/>
        <v>1293822892</v>
      </c>
    </row>
    <row r="143" spans="1:79" x14ac:dyDescent="0.25">
      <c r="A143" s="37" t="s">
        <v>688</v>
      </c>
      <c r="B143" s="37" t="s">
        <v>836</v>
      </c>
      <c r="C143" s="43">
        <f>C144-C142-SUM(C127:C139)-C88</f>
        <v>42006312</v>
      </c>
      <c r="D143" s="43">
        <f t="shared" ref="D143:BO143" si="27">D144-D142-SUM(D127:D139)-D88</f>
        <v>276809373</v>
      </c>
      <c r="E143" s="43">
        <f t="shared" si="27"/>
        <v>20867977</v>
      </c>
      <c r="F143" s="43">
        <f t="shared" si="27"/>
        <v>119570368</v>
      </c>
      <c r="G143" s="43">
        <f t="shared" si="27"/>
        <v>46151340</v>
      </c>
      <c r="H143" s="43">
        <f t="shared" si="27"/>
        <v>35571082</v>
      </c>
      <c r="I143" s="43">
        <f t="shared" si="27"/>
        <v>45192863</v>
      </c>
      <c r="J143" s="43">
        <f t="shared" si="27"/>
        <v>186261636</v>
      </c>
      <c r="K143" s="43">
        <f t="shared" si="27"/>
        <v>32863520</v>
      </c>
      <c r="L143" s="43">
        <f t="shared" si="27"/>
        <v>30685135</v>
      </c>
      <c r="M143" s="43">
        <f t="shared" si="27"/>
        <v>23433640</v>
      </c>
      <c r="N143" s="43">
        <f t="shared" si="27"/>
        <v>367896956</v>
      </c>
      <c r="O143" s="43">
        <f t="shared" si="27"/>
        <v>480118746</v>
      </c>
      <c r="P143" s="43">
        <f t="shared" si="27"/>
        <v>24987329</v>
      </c>
      <c r="Q143" s="43">
        <f t="shared" si="27"/>
        <v>864217656</v>
      </c>
      <c r="R143" s="43">
        <f t="shared" si="27"/>
        <v>110725788</v>
      </c>
      <c r="S143" s="43">
        <f t="shared" si="27"/>
        <v>75736986</v>
      </c>
      <c r="T143" s="43">
        <f t="shared" si="27"/>
        <v>94576524</v>
      </c>
      <c r="U143" s="43">
        <f t="shared" si="27"/>
        <v>0</v>
      </c>
      <c r="V143" s="43">
        <f t="shared" si="27"/>
        <v>73371250</v>
      </c>
      <c r="W143" s="43">
        <f t="shared" si="27"/>
        <v>162467396</v>
      </c>
      <c r="X143" s="43">
        <f t="shared" si="27"/>
        <v>16612770</v>
      </c>
      <c r="Y143" s="43">
        <f t="shared" si="27"/>
        <v>46858295</v>
      </c>
      <c r="Z143" s="43">
        <f t="shared" si="27"/>
        <v>294185561</v>
      </c>
      <c r="AA143" s="43">
        <f t="shared" si="27"/>
        <v>39240480</v>
      </c>
      <c r="AB143" s="43">
        <f t="shared" si="27"/>
        <v>50091454</v>
      </c>
      <c r="AC143" s="43">
        <f t="shared" si="27"/>
        <v>52767818</v>
      </c>
      <c r="AD143" s="43">
        <f t="shared" si="27"/>
        <v>231897958</v>
      </c>
      <c r="AE143" s="43">
        <f t="shared" si="27"/>
        <v>16047828</v>
      </c>
      <c r="AF143" s="43">
        <f t="shared" si="27"/>
        <v>46589998</v>
      </c>
      <c r="AG143" s="43">
        <f t="shared" si="27"/>
        <v>17832452</v>
      </c>
      <c r="AH143" s="43">
        <f t="shared" si="27"/>
        <v>129994646</v>
      </c>
      <c r="AI143" s="43">
        <f t="shared" si="27"/>
        <v>975042601</v>
      </c>
      <c r="AJ143" s="43">
        <f t="shared" si="27"/>
        <v>118944126</v>
      </c>
      <c r="AK143" s="43">
        <f t="shared" si="27"/>
        <v>13718423</v>
      </c>
      <c r="AL143" s="43">
        <f t="shared" si="27"/>
        <v>21296631</v>
      </c>
      <c r="AM143" s="43">
        <f t="shared" si="27"/>
        <v>39262881</v>
      </c>
      <c r="AN143" s="43">
        <f t="shared" si="27"/>
        <v>677199154</v>
      </c>
      <c r="AO143" s="43">
        <f t="shared" si="27"/>
        <v>0</v>
      </c>
      <c r="AP143" s="43">
        <f t="shared" si="27"/>
        <v>143661296</v>
      </c>
      <c r="AQ143" s="43">
        <f t="shared" si="27"/>
        <v>190457055</v>
      </c>
      <c r="AR143" s="43">
        <f t="shared" si="27"/>
        <v>75728324</v>
      </c>
      <c r="AS143" s="43">
        <f t="shared" si="27"/>
        <v>43206937</v>
      </c>
      <c r="AT143" s="43">
        <f t="shared" si="27"/>
        <v>27537366</v>
      </c>
      <c r="AU143" s="43">
        <f t="shared" si="27"/>
        <v>381605959</v>
      </c>
      <c r="AV143" s="43">
        <f t="shared" si="27"/>
        <v>125218935</v>
      </c>
      <c r="AW143" s="43">
        <f t="shared" si="27"/>
        <v>32762639</v>
      </c>
      <c r="AX143" s="43">
        <f t="shared" si="27"/>
        <v>51113419</v>
      </c>
      <c r="AY143" s="43">
        <f t="shared" si="27"/>
        <v>260850435</v>
      </c>
      <c r="AZ143" s="43">
        <f t="shared" si="27"/>
        <v>14831812</v>
      </c>
      <c r="BA143" s="43">
        <f t="shared" si="27"/>
        <v>59006370</v>
      </c>
      <c r="BB143" s="43">
        <f t="shared" si="27"/>
        <v>55079236</v>
      </c>
      <c r="BC143" s="43">
        <f t="shared" si="27"/>
        <v>88368423</v>
      </c>
      <c r="BD143" s="43">
        <f t="shared" si="27"/>
        <v>144667192</v>
      </c>
      <c r="BE143" s="43">
        <f t="shared" si="27"/>
        <v>183457315</v>
      </c>
      <c r="BF143" s="43">
        <f t="shared" si="27"/>
        <v>194631655</v>
      </c>
      <c r="BG143" s="43">
        <f t="shared" si="27"/>
        <v>420705242</v>
      </c>
      <c r="BH143" s="43">
        <f t="shared" si="27"/>
        <v>400652358</v>
      </c>
      <c r="BI143" s="43">
        <f t="shared" si="27"/>
        <v>32105771</v>
      </c>
      <c r="BJ143" s="43">
        <f t="shared" si="27"/>
        <v>67373261</v>
      </c>
      <c r="BK143" s="43">
        <f t="shared" si="27"/>
        <v>130955979</v>
      </c>
      <c r="BL143" s="43">
        <f t="shared" si="27"/>
        <v>40978140</v>
      </c>
      <c r="BM143" s="43">
        <f t="shared" si="27"/>
        <v>34146960</v>
      </c>
      <c r="BN143" s="43">
        <f t="shared" si="27"/>
        <v>125977782</v>
      </c>
      <c r="BO143" s="43">
        <f t="shared" si="27"/>
        <v>165813022</v>
      </c>
      <c r="BP143" s="43">
        <f t="shared" ref="BP143:CA143" si="28">BP144-BP142-SUM(BP127:BP139)-BP88</f>
        <v>136286248</v>
      </c>
      <c r="BQ143" s="43">
        <f t="shared" si="28"/>
        <v>191744768</v>
      </c>
      <c r="BR143" s="43">
        <f t="shared" si="28"/>
        <v>48402551</v>
      </c>
      <c r="BS143" s="43">
        <f t="shared" si="28"/>
        <v>64196297</v>
      </c>
      <c r="BT143" s="43">
        <f t="shared" si="28"/>
        <v>70766209</v>
      </c>
      <c r="BU143" s="43">
        <f t="shared" si="28"/>
        <v>123460422</v>
      </c>
      <c r="BV143" s="43">
        <f t="shared" si="28"/>
        <v>230609969</v>
      </c>
      <c r="BW143" s="43">
        <f t="shared" si="28"/>
        <v>220943055</v>
      </c>
      <c r="BX143" s="43">
        <f t="shared" si="28"/>
        <v>209473257</v>
      </c>
      <c r="BY143" s="43">
        <f t="shared" si="28"/>
        <v>217500239</v>
      </c>
      <c r="BZ143" s="43">
        <f t="shared" si="28"/>
        <v>22046065</v>
      </c>
      <c r="CA143" s="43">
        <f t="shared" si="28"/>
        <v>10927416916</v>
      </c>
    </row>
    <row r="144" spans="1:79" x14ac:dyDescent="0.25">
      <c r="A144" s="37" t="s">
        <v>688</v>
      </c>
      <c r="B144" s="37" t="s">
        <v>837</v>
      </c>
      <c r="C144" s="43">
        <f>C141+C117+C108+C66+C142</f>
        <v>58075216</v>
      </c>
      <c r="D144" s="43">
        <f t="shared" ref="D144:BO144" si="29">D141+D117+D108+D66+D142</f>
        <v>406789059</v>
      </c>
      <c r="E144" s="43">
        <f t="shared" si="29"/>
        <v>24499066</v>
      </c>
      <c r="F144" s="43">
        <f t="shared" si="29"/>
        <v>159388895</v>
      </c>
      <c r="G144" s="43">
        <f t="shared" si="29"/>
        <v>56409398</v>
      </c>
      <c r="H144" s="43">
        <f t="shared" si="29"/>
        <v>48233774</v>
      </c>
      <c r="I144" s="43">
        <f t="shared" si="29"/>
        <v>65477560</v>
      </c>
      <c r="J144" s="43">
        <f t="shared" si="29"/>
        <v>234030434</v>
      </c>
      <c r="K144" s="43">
        <f t="shared" si="29"/>
        <v>42225357</v>
      </c>
      <c r="L144" s="43">
        <f t="shared" si="29"/>
        <v>34038288</v>
      </c>
      <c r="M144" s="43">
        <f t="shared" si="29"/>
        <v>27544305</v>
      </c>
      <c r="N144" s="43">
        <f t="shared" si="29"/>
        <v>590111094</v>
      </c>
      <c r="O144" s="43">
        <f t="shared" si="29"/>
        <v>712702868</v>
      </c>
      <c r="P144" s="43">
        <f t="shared" si="29"/>
        <v>33363294</v>
      </c>
      <c r="Q144" s="43">
        <f t="shared" si="29"/>
        <v>1214541221</v>
      </c>
      <c r="R144" s="43">
        <f t="shared" si="29"/>
        <v>173687408</v>
      </c>
      <c r="S144" s="43">
        <f t="shared" si="29"/>
        <v>98700333</v>
      </c>
      <c r="T144" s="43">
        <f t="shared" si="29"/>
        <v>111933253</v>
      </c>
      <c r="U144" s="43">
        <f t="shared" si="29"/>
        <v>0</v>
      </c>
      <c r="V144" s="43">
        <f t="shared" si="29"/>
        <v>110651780</v>
      </c>
      <c r="W144" s="43">
        <f t="shared" si="29"/>
        <v>203136439</v>
      </c>
      <c r="X144" s="43">
        <f t="shared" si="29"/>
        <v>24842498</v>
      </c>
      <c r="Y144" s="43">
        <f t="shared" si="29"/>
        <v>67734380</v>
      </c>
      <c r="Z144" s="43">
        <f t="shared" si="29"/>
        <v>391312664</v>
      </c>
      <c r="AA144" s="43">
        <f t="shared" si="29"/>
        <v>69656987</v>
      </c>
      <c r="AB144" s="43">
        <f t="shared" si="29"/>
        <v>60298299</v>
      </c>
      <c r="AC144" s="43">
        <f t="shared" si="29"/>
        <v>62250233</v>
      </c>
      <c r="AD144" s="43">
        <f t="shared" si="29"/>
        <v>289260793</v>
      </c>
      <c r="AE144" s="43">
        <f t="shared" si="29"/>
        <v>20057008</v>
      </c>
      <c r="AF144" s="43">
        <f t="shared" si="29"/>
        <v>52614966</v>
      </c>
      <c r="AG144" s="43">
        <f t="shared" si="29"/>
        <v>20088468</v>
      </c>
      <c r="AH144" s="43">
        <f t="shared" si="29"/>
        <v>167527235</v>
      </c>
      <c r="AI144" s="43">
        <f t="shared" si="29"/>
        <v>1440137706</v>
      </c>
      <c r="AJ144" s="43">
        <f t="shared" si="29"/>
        <v>152930715</v>
      </c>
      <c r="AK144" s="43">
        <f t="shared" si="29"/>
        <v>18846593</v>
      </c>
      <c r="AL144" s="43">
        <f t="shared" si="29"/>
        <v>25236939</v>
      </c>
      <c r="AM144" s="43">
        <f t="shared" si="29"/>
        <v>54012120</v>
      </c>
      <c r="AN144" s="43">
        <f t="shared" si="29"/>
        <v>917005407</v>
      </c>
      <c r="AO144" s="43">
        <f t="shared" si="29"/>
        <v>0</v>
      </c>
      <c r="AP144" s="43">
        <f t="shared" si="29"/>
        <v>198631544</v>
      </c>
      <c r="AQ144" s="43">
        <f t="shared" si="29"/>
        <v>265987935</v>
      </c>
      <c r="AR144" s="43">
        <f t="shared" si="29"/>
        <v>94537279</v>
      </c>
      <c r="AS144" s="43">
        <f t="shared" si="29"/>
        <v>55459777</v>
      </c>
      <c r="AT144" s="43">
        <f t="shared" si="29"/>
        <v>33464157</v>
      </c>
      <c r="AU144" s="43">
        <f t="shared" si="29"/>
        <v>534592527</v>
      </c>
      <c r="AV144" s="43">
        <f t="shared" si="29"/>
        <v>194699167</v>
      </c>
      <c r="AW144" s="43">
        <f t="shared" si="29"/>
        <v>115213683</v>
      </c>
      <c r="AX144" s="43">
        <f t="shared" si="29"/>
        <v>60620411</v>
      </c>
      <c r="AY144" s="43">
        <f t="shared" si="29"/>
        <v>317594792</v>
      </c>
      <c r="AZ144" s="43">
        <f t="shared" si="29"/>
        <v>17043629</v>
      </c>
      <c r="BA144" s="43">
        <f t="shared" si="29"/>
        <v>60933573</v>
      </c>
      <c r="BB144" s="43">
        <f t="shared" si="29"/>
        <v>70879878</v>
      </c>
      <c r="BC144" s="43">
        <f t="shared" si="29"/>
        <v>116822321</v>
      </c>
      <c r="BD144" s="43">
        <f t="shared" si="29"/>
        <v>207395014</v>
      </c>
      <c r="BE144" s="43">
        <f t="shared" si="29"/>
        <v>267453453</v>
      </c>
      <c r="BF144" s="43">
        <f t="shared" si="29"/>
        <v>293844428</v>
      </c>
      <c r="BG144" s="43">
        <f t="shared" si="29"/>
        <v>596000806</v>
      </c>
      <c r="BH144" s="43">
        <f t="shared" si="29"/>
        <v>574315863</v>
      </c>
      <c r="BI144" s="43">
        <f t="shared" si="29"/>
        <v>41512085</v>
      </c>
      <c r="BJ144" s="43">
        <f t="shared" si="29"/>
        <v>96074898</v>
      </c>
      <c r="BK144" s="43">
        <f t="shared" si="29"/>
        <v>206617616</v>
      </c>
      <c r="BL144" s="43">
        <f t="shared" si="29"/>
        <v>64227382</v>
      </c>
      <c r="BM144" s="43">
        <f t="shared" si="29"/>
        <v>51299897</v>
      </c>
      <c r="BN144" s="43">
        <f t="shared" si="29"/>
        <v>307200221</v>
      </c>
      <c r="BO144" s="43">
        <f t="shared" si="29"/>
        <v>242435590</v>
      </c>
      <c r="BP144" s="43">
        <f t="shared" ref="BP144:CA144" si="30">BP141+BP117+BP108+BP66+BP142</f>
        <v>183866906</v>
      </c>
      <c r="BQ144" s="43">
        <f t="shared" si="30"/>
        <v>242147892</v>
      </c>
      <c r="BR144" s="43">
        <f t="shared" si="30"/>
        <v>61353084</v>
      </c>
      <c r="BS144" s="43">
        <f t="shared" si="30"/>
        <v>79312149</v>
      </c>
      <c r="BT144" s="43">
        <f t="shared" si="30"/>
        <v>90047410</v>
      </c>
      <c r="BU144" s="43">
        <f t="shared" si="30"/>
        <v>152171031</v>
      </c>
      <c r="BV144" s="43">
        <f t="shared" si="30"/>
        <v>293251908</v>
      </c>
      <c r="BW144" s="43">
        <f t="shared" si="30"/>
        <v>355061247</v>
      </c>
      <c r="BX144" s="43">
        <f t="shared" si="30"/>
        <v>266391643</v>
      </c>
      <c r="BY144" s="43">
        <f t="shared" si="30"/>
        <v>264258871</v>
      </c>
      <c r="BZ144" s="43">
        <f t="shared" si="30"/>
        <v>26745606</v>
      </c>
      <c r="CA144" s="43">
        <f t="shared" si="30"/>
        <v>15338817726</v>
      </c>
    </row>
    <row r="147" spans="3:78" x14ac:dyDescent="0.25"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</row>
    <row r="148" spans="3:78" x14ac:dyDescent="0.25"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</row>
    <row r="149" spans="3:78" x14ac:dyDescent="0.25"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</row>
    <row r="150" spans="3:78" x14ac:dyDescent="0.25"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</row>
    <row r="151" spans="3:78" x14ac:dyDescent="0.25">
      <c r="C151" s="43"/>
    </row>
    <row r="152" spans="3:78" x14ac:dyDescent="0.25">
      <c r="C152" s="43"/>
      <c r="D152" s="43"/>
      <c r="E152" s="43"/>
    </row>
    <row r="153" spans="3:78" x14ac:dyDescent="0.25">
      <c r="D153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7A56-590C-4358-B975-8E545F037B41}">
  <dimension ref="A1:U161"/>
  <sheetViews>
    <sheetView zoomScaleNormal="100" workbookViewId="0">
      <selection activeCell="F4" sqref="F4"/>
    </sheetView>
  </sheetViews>
  <sheetFormatPr defaultRowHeight="12.75" x14ac:dyDescent="0.2"/>
  <cols>
    <col min="1" max="1" width="2.7109375" style="31" customWidth="1"/>
    <col min="2" max="2" width="2.85546875" style="31" customWidth="1"/>
    <col min="3" max="3" width="5.140625" style="31" customWidth="1"/>
    <col min="4" max="4" width="5" style="32" customWidth="1"/>
    <col min="5" max="6" width="9.140625" style="31"/>
    <col min="7" max="7" width="36.140625" style="31" customWidth="1"/>
    <col min="8" max="8" width="9.140625" style="31"/>
    <col min="9" max="9" width="13.85546875" style="31" customWidth="1"/>
    <col min="10" max="10" width="3.28515625" style="31" customWidth="1"/>
    <col min="11" max="12" width="9.140625" style="31" hidden="1" customWidth="1"/>
    <col min="13" max="16384" width="9.140625" style="31"/>
  </cols>
  <sheetData>
    <row r="1" spans="1:21" x14ac:dyDescent="0.2">
      <c r="A1" s="29" t="s">
        <v>998</v>
      </c>
      <c r="B1" s="29"/>
      <c r="C1" s="29"/>
      <c r="D1" s="29"/>
      <c r="E1" s="29"/>
      <c r="F1" s="29"/>
      <c r="G1" s="29"/>
      <c r="H1" s="29"/>
      <c r="I1" s="29"/>
      <c r="J1" s="30"/>
      <c r="K1" s="30"/>
      <c r="L1" s="30"/>
      <c r="M1" s="30"/>
    </row>
    <row r="2" spans="1:21" x14ac:dyDescent="0.2">
      <c r="A2" s="29" t="s">
        <v>999</v>
      </c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</row>
    <row r="4" spans="1:21" x14ac:dyDescent="0.2">
      <c r="A4" s="31" t="s">
        <v>1000</v>
      </c>
    </row>
    <row r="6" spans="1:21" x14ac:dyDescent="0.2">
      <c r="A6" s="31" t="s">
        <v>573</v>
      </c>
      <c r="U6" s="32"/>
    </row>
    <row r="7" spans="1:21" x14ac:dyDescent="0.2">
      <c r="C7" s="31" t="s">
        <v>1001</v>
      </c>
    </row>
    <row r="8" spans="1:21" x14ac:dyDescent="0.2">
      <c r="C8" s="31" t="s">
        <v>1002</v>
      </c>
    </row>
    <row r="9" spans="1:21" x14ac:dyDescent="0.2">
      <c r="D9" s="32" t="s">
        <v>1003</v>
      </c>
    </row>
    <row r="10" spans="1:21" x14ac:dyDescent="0.2">
      <c r="D10" s="32" t="s">
        <v>1004</v>
      </c>
    </row>
    <row r="11" spans="1:21" x14ac:dyDescent="0.2">
      <c r="D11" s="32" t="s">
        <v>1005</v>
      </c>
    </row>
    <row r="12" spans="1:21" x14ac:dyDescent="0.2">
      <c r="D12" s="32" t="s">
        <v>1006</v>
      </c>
    </row>
    <row r="13" spans="1:21" x14ac:dyDescent="0.2">
      <c r="D13" s="32" t="s">
        <v>1007</v>
      </c>
    </row>
    <row r="14" spans="1:21" x14ac:dyDescent="0.2">
      <c r="D14" s="32" t="s">
        <v>1008</v>
      </c>
    </row>
    <row r="15" spans="1:21" x14ac:dyDescent="0.2">
      <c r="D15" s="32" t="s">
        <v>1009</v>
      </c>
    </row>
    <row r="16" spans="1:21" x14ac:dyDescent="0.2">
      <c r="D16" s="32" t="s">
        <v>1010</v>
      </c>
    </row>
    <row r="17" spans="3:4" x14ac:dyDescent="0.2">
      <c r="C17" s="31" t="s">
        <v>1011</v>
      </c>
    </row>
    <row r="18" spans="3:4" x14ac:dyDescent="0.2">
      <c r="D18" s="32" t="s">
        <v>1012</v>
      </c>
    </row>
    <row r="19" spans="3:4" x14ac:dyDescent="0.2">
      <c r="D19" s="32" t="s">
        <v>1013</v>
      </c>
    </row>
    <row r="20" spans="3:4" x14ac:dyDescent="0.2">
      <c r="D20" s="32" t="s">
        <v>1014</v>
      </c>
    </row>
    <row r="21" spans="3:4" x14ac:dyDescent="0.2">
      <c r="D21" s="32" t="s">
        <v>1015</v>
      </c>
    </row>
    <row r="22" spans="3:4" x14ac:dyDescent="0.2">
      <c r="D22" s="32" t="s">
        <v>1016</v>
      </c>
    </row>
    <row r="23" spans="3:4" x14ac:dyDescent="0.2">
      <c r="D23" s="32" t="s">
        <v>1017</v>
      </c>
    </row>
    <row r="24" spans="3:4" x14ac:dyDescent="0.2">
      <c r="D24" s="32" t="s">
        <v>1018</v>
      </c>
    </row>
    <row r="25" spans="3:4" x14ac:dyDescent="0.2">
      <c r="D25" s="32" t="s">
        <v>1019</v>
      </c>
    </row>
    <row r="26" spans="3:4" x14ac:dyDescent="0.2">
      <c r="D26" s="32" t="s">
        <v>1020</v>
      </c>
    </row>
    <row r="27" spans="3:4" x14ac:dyDescent="0.2">
      <c r="C27" s="31" t="s">
        <v>1021</v>
      </c>
    </row>
    <row r="28" spans="3:4" x14ac:dyDescent="0.2">
      <c r="D28" s="32" t="s">
        <v>1022</v>
      </c>
    </row>
    <row r="29" spans="3:4" x14ac:dyDescent="0.2">
      <c r="D29" s="32" t="s">
        <v>1023</v>
      </c>
    </row>
    <row r="30" spans="3:4" x14ac:dyDescent="0.2">
      <c r="D30" s="32" t="s">
        <v>1024</v>
      </c>
    </row>
    <row r="31" spans="3:4" x14ac:dyDescent="0.2">
      <c r="D31" s="32" t="s">
        <v>1025</v>
      </c>
    </row>
    <row r="32" spans="3:4" x14ac:dyDescent="0.2">
      <c r="D32" s="32" t="s">
        <v>1026</v>
      </c>
    </row>
    <row r="33" spans="3:4" x14ac:dyDescent="0.2">
      <c r="D33" s="32" t="s">
        <v>1027</v>
      </c>
    </row>
    <row r="34" spans="3:4" x14ac:dyDescent="0.2">
      <c r="D34" s="32" t="s">
        <v>1028</v>
      </c>
    </row>
    <row r="35" spans="3:4" x14ac:dyDescent="0.2">
      <c r="D35" s="32" t="s">
        <v>1029</v>
      </c>
    </row>
    <row r="36" spans="3:4" x14ac:dyDescent="0.2">
      <c r="D36" s="32" t="s">
        <v>1030</v>
      </c>
    </row>
    <row r="37" spans="3:4" x14ac:dyDescent="0.2">
      <c r="C37" s="31" t="s">
        <v>1031</v>
      </c>
    </row>
    <row r="38" spans="3:4" x14ac:dyDescent="0.2">
      <c r="D38" s="32" t="s">
        <v>1032</v>
      </c>
    </row>
    <row r="39" spans="3:4" x14ac:dyDescent="0.2">
      <c r="D39" s="32" t="s">
        <v>1033</v>
      </c>
    </row>
    <row r="40" spans="3:4" x14ac:dyDescent="0.2">
      <c r="D40" s="32" t="s">
        <v>1034</v>
      </c>
    </row>
    <row r="41" spans="3:4" x14ac:dyDescent="0.2">
      <c r="D41" s="32" t="s">
        <v>1035</v>
      </c>
    </row>
    <row r="42" spans="3:4" x14ac:dyDescent="0.2">
      <c r="D42" s="32" t="s">
        <v>1036</v>
      </c>
    </row>
    <row r="43" spans="3:4" x14ac:dyDescent="0.2">
      <c r="D43" s="32" t="s">
        <v>1037</v>
      </c>
    </row>
    <row r="44" spans="3:4" x14ac:dyDescent="0.2">
      <c r="D44" s="32" t="s">
        <v>1038</v>
      </c>
    </row>
    <row r="45" spans="3:4" x14ac:dyDescent="0.2">
      <c r="D45" s="32" t="s">
        <v>1039</v>
      </c>
    </row>
    <row r="46" spans="3:4" x14ac:dyDescent="0.2">
      <c r="C46" s="31" t="s">
        <v>1040</v>
      </c>
    </row>
    <row r="47" spans="3:4" x14ac:dyDescent="0.2">
      <c r="C47" s="31" t="s">
        <v>1041</v>
      </c>
    </row>
    <row r="48" spans="3:4" x14ac:dyDescent="0.2">
      <c r="C48" s="31" t="s">
        <v>1042</v>
      </c>
    </row>
    <row r="49" spans="3:4" x14ac:dyDescent="0.2">
      <c r="D49" s="32" t="s">
        <v>1043</v>
      </c>
    </row>
    <row r="50" spans="3:4" x14ac:dyDescent="0.2">
      <c r="D50" s="32" t="s">
        <v>1044</v>
      </c>
    </row>
    <row r="51" spans="3:4" x14ac:dyDescent="0.2">
      <c r="D51" s="31" t="s">
        <v>1045</v>
      </c>
    </row>
    <row r="52" spans="3:4" x14ac:dyDescent="0.2">
      <c r="C52" s="31" t="s">
        <v>1046</v>
      </c>
    </row>
    <row r="53" spans="3:4" x14ac:dyDescent="0.2">
      <c r="D53" s="32" t="s">
        <v>1047</v>
      </c>
    </row>
    <row r="54" spans="3:4" x14ac:dyDescent="0.2">
      <c r="D54" s="32" t="s">
        <v>1048</v>
      </c>
    </row>
    <row r="55" spans="3:4" x14ac:dyDescent="0.2">
      <c r="D55" s="32" t="s">
        <v>1049</v>
      </c>
    </row>
    <row r="56" spans="3:4" x14ac:dyDescent="0.2">
      <c r="D56" s="32" t="s">
        <v>1050</v>
      </c>
    </row>
    <row r="57" spans="3:4" x14ac:dyDescent="0.2">
      <c r="D57" s="32" t="s">
        <v>1051</v>
      </c>
    </row>
    <row r="58" spans="3:4" x14ac:dyDescent="0.2">
      <c r="C58" s="31" t="s">
        <v>1052</v>
      </c>
    </row>
    <row r="59" spans="3:4" x14ac:dyDescent="0.2">
      <c r="D59" s="32" t="s">
        <v>1053</v>
      </c>
    </row>
    <row r="60" spans="3:4" x14ac:dyDescent="0.2">
      <c r="D60" s="32" t="s">
        <v>1054</v>
      </c>
    </row>
    <row r="61" spans="3:4" x14ac:dyDescent="0.2">
      <c r="D61" s="32" t="s">
        <v>1055</v>
      </c>
    </row>
    <row r="62" spans="3:4" x14ac:dyDescent="0.2">
      <c r="D62" s="32" t="s">
        <v>1056</v>
      </c>
    </row>
    <row r="63" spans="3:4" x14ac:dyDescent="0.2">
      <c r="D63" s="32" t="s">
        <v>1057</v>
      </c>
    </row>
    <row r="64" spans="3:4" x14ac:dyDescent="0.2">
      <c r="D64" s="31" t="s">
        <v>1058</v>
      </c>
    </row>
    <row r="65" spans="1:5" x14ac:dyDescent="0.2">
      <c r="D65" s="32" t="s">
        <v>1059</v>
      </c>
    </row>
    <row r="66" spans="1:5" x14ac:dyDescent="0.2">
      <c r="D66" s="32" t="s">
        <v>1060</v>
      </c>
    </row>
    <row r="67" spans="1:5" x14ac:dyDescent="0.2">
      <c r="D67" s="32" t="s">
        <v>1061</v>
      </c>
    </row>
    <row r="68" spans="1:5" x14ac:dyDescent="0.2">
      <c r="C68" s="31" t="s">
        <v>1062</v>
      </c>
    </row>
    <row r="70" spans="1:5" x14ac:dyDescent="0.2">
      <c r="A70" s="31" t="s">
        <v>580</v>
      </c>
    </row>
    <row r="71" spans="1:5" x14ac:dyDescent="0.2">
      <c r="C71" s="31" t="s">
        <v>1063</v>
      </c>
    </row>
    <row r="72" spans="1:5" x14ac:dyDescent="0.2">
      <c r="C72" s="31" t="s">
        <v>1064</v>
      </c>
    </row>
    <row r="73" spans="1:5" x14ac:dyDescent="0.2">
      <c r="D73" s="32" t="s">
        <v>1065</v>
      </c>
    </row>
    <row r="74" spans="1:5" x14ac:dyDescent="0.2">
      <c r="D74" s="32" t="s">
        <v>1066</v>
      </c>
    </row>
    <row r="75" spans="1:5" x14ac:dyDescent="0.2">
      <c r="D75" s="32" t="s">
        <v>1067</v>
      </c>
    </row>
    <row r="76" spans="1:5" x14ac:dyDescent="0.2">
      <c r="D76" s="32" t="s">
        <v>1068</v>
      </c>
    </row>
    <row r="77" spans="1:5" x14ac:dyDescent="0.2">
      <c r="D77" s="32" t="s">
        <v>1069</v>
      </c>
    </row>
    <row r="78" spans="1:5" x14ac:dyDescent="0.2">
      <c r="D78" s="32" t="s">
        <v>1070</v>
      </c>
    </row>
    <row r="79" spans="1:5" x14ac:dyDescent="0.2">
      <c r="D79" s="32" t="s">
        <v>1071</v>
      </c>
      <c r="E79" s="32"/>
    </row>
    <row r="80" spans="1:5" x14ac:dyDescent="0.2">
      <c r="C80" s="31" t="s">
        <v>1072</v>
      </c>
    </row>
    <row r="81" spans="3:4" x14ac:dyDescent="0.2">
      <c r="D81" s="32" t="s">
        <v>1073</v>
      </c>
    </row>
    <row r="82" spans="3:4" x14ac:dyDescent="0.2">
      <c r="D82" s="32" t="s">
        <v>1074</v>
      </c>
    </row>
    <row r="83" spans="3:4" x14ac:dyDescent="0.2">
      <c r="D83" s="32" t="s">
        <v>1075</v>
      </c>
    </row>
    <row r="84" spans="3:4" x14ac:dyDescent="0.2">
      <c r="C84" s="31" t="s">
        <v>1076</v>
      </c>
    </row>
    <row r="85" spans="3:4" x14ac:dyDescent="0.2">
      <c r="D85" s="32" t="s">
        <v>1077</v>
      </c>
    </row>
    <row r="86" spans="3:4" x14ac:dyDescent="0.2">
      <c r="D86" s="32" t="s">
        <v>1078</v>
      </c>
    </row>
    <row r="87" spans="3:4" x14ac:dyDescent="0.2">
      <c r="C87" s="31" t="s">
        <v>1079</v>
      </c>
    </row>
    <row r="88" spans="3:4" x14ac:dyDescent="0.2">
      <c r="D88" s="32" t="s">
        <v>1080</v>
      </c>
    </row>
    <row r="89" spans="3:4" x14ac:dyDescent="0.2">
      <c r="D89" s="32" t="s">
        <v>1081</v>
      </c>
    </row>
    <row r="90" spans="3:4" x14ac:dyDescent="0.2">
      <c r="D90" s="32" t="s">
        <v>1082</v>
      </c>
    </row>
    <row r="91" spans="3:4" x14ac:dyDescent="0.2">
      <c r="C91" s="31" t="s">
        <v>1083</v>
      </c>
    </row>
    <row r="92" spans="3:4" x14ac:dyDescent="0.2">
      <c r="D92" s="32" t="s">
        <v>1084</v>
      </c>
    </row>
    <row r="93" spans="3:4" x14ac:dyDescent="0.2">
      <c r="D93" s="32" t="s">
        <v>1085</v>
      </c>
    </row>
    <row r="94" spans="3:4" x14ac:dyDescent="0.2">
      <c r="D94" s="32" t="s">
        <v>1086</v>
      </c>
    </row>
    <row r="95" spans="3:4" x14ac:dyDescent="0.2">
      <c r="D95" s="32" t="s">
        <v>1087</v>
      </c>
    </row>
    <row r="96" spans="3:4" x14ac:dyDescent="0.2">
      <c r="D96" s="32" t="s">
        <v>1088</v>
      </c>
    </row>
    <row r="97" spans="1:7" x14ac:dyDescent="0.2">
      <c r="D97" s="32" t="s">
        <v>1089</v>
      </c>
    </row>
    <row r="98" spans="1:7" x14ac:dyDescent="0.2">
      <c r="D98" s="32" t="s">
        <v>1090</v>
      </c>
    </row>
    <row r="99" spans="1:7" x14ac:dyDescent="0.2">
      <c r="C99" s="31" t="s">
        <v>1091</v>
      </c>
    </row>
    <row r="100" spans="1:7" x14ac:dyDescent="0.2">
      <c r="D100" s="32" t="s">
        <v>1092</v>
      </c>
    </row>
    <row r="102" spans="1:7" x14ac:dyDescent="0.2">
      <c r="A102" s="31" t="s">
        <v>583</v>
      </c>
    </row>
    <row r="103" spans="1:7" x14ac:dyDescent="0.2">
      <c r="C103" s="31" t="s">
        <v>1093</v>
      </c>
    </row>
    <row r="104" spans="1:7" x14ac:dyDescent="0.2">
      <c r="D104" s="32" t="s">
        <v>1094</v>
      </c>
    </row>
    <row r="105" spans="1:7" x14ac:dyDescent="0.2">
      <c r="D105" s="32" t="s">
        <v>1095</v>
      </c>
    </row>
    <row r="106" spans="1:7" x14ac:dyDescent="0.2">
      <c r="D106" s="33" t="s">
        <v>1096</v>
      </c>
      <c r="E106" s="34"/>
      <c r="F106" s="34"/>
      <c r="G106" s="34"/>
    </row>
    <row r="107" spans="1:7" x14ac:dyDescent="0.2">
      <c r="D107" s="32" t="s">
        <v>1097</v>
      </c>
    </row>
    <row r="108" spans="1:7" x14ac:dyDescent="0.2">
      <c r="D108" s="32" t="s">
        <v>1098</v>
      </c>
    </row>
    <row r="109" spans="1:7" x14ac:dyDescent="0.2">
      <c r="D109" s="32" t="s">
        <v>1099</v>
      </c>
    </row>
    <row r="110" spans="1:7" x14ac:dyDescent="0.2">
      <c r="D110" s="32" t="s">
        <v>1100</v>
      </c>
    </row>
    <row r="111" spans="1:7" x14ac:dyDescent="0.2">
      <c r="D111" s="32" t="s">
        <v>1101</v>
      </c>
    </row>
    <row r="112" spans="1:7" x14ac:dyDescent="0.2">
      <c r="C112" s="31" t="s">
        <v>1076</v>
      </c>
    </row>
    <row r="113" spans="1:19" x14ac:dyDescent="0.2">
      <c r="D113" s="32" t="s">
        <v>1102</v>
      </c>
    </row>
    <row r="114" spans="1:19" x14ac:dyDescent="0.2">
      <c r="D114" s="32" t="s">
        <v>1103</v>
      </c>
    </row>
    <row r="115" spans="1:19" x14ac:dyDescent="0.2">
      <c r="D115" s="32" t="s">
        <v>1104</v>
      </c>
      <c r="S115" s="32"/>
    </row>
    <row r="116" spans="1:19" x14ac:dyDescent="0.2">
      <c r="C116" s="31" t="s">
        <v>1105</v>
      </c>
    </row>
    <row r="117" spans="1:19" x14ac:dyDescent="0.2">
      <c r="D117" s="32" t="s">
        <v>1106</v>
      </c>
      <c r="S117" s="32"/>
    </row>
    <row r="119" spans="1:19" x14ac:dyDescent="0.2">
      <c r="A119" s="31" t="s">
        <v>586</v>
      </c>
    </row>
    <row r="120" spans="1:19" x14ac:dyDescent="0.2">
      <c r="C120" s="31" t="s">
        <v>1072</v>
      </c>
    </row>
    <row r="121" spans="1:19" x14ac:dyDescent="0.2">
      <c r="D121" s="32" t="s">
        <v>1107</v>
      </c>
    </row>
    <row r="122" spans="1:19" x14ac:dyDescent="0.2">
      <c r="C122" s="31" t="s">
        <v>1108</v>
      </c>
    </row>
    <row r="123" spans="1:19" x14ac:dyDescent="0.2">
      <c r="D123" s="32" t="s">
        <v>1109</v>
      </c>
    </row>
    <row r="124" spans="1:19" x14ac:dyDescent="0.2">
      <c r="D124" s="32" t="s">
        <v>1110</v>
      </c>
    </row>
    <row r="125" spans="1:19" x14ac:dyDescent="0.2">
      <c r="D125" s="32" t="s">
        <v>1111</v>
      </c>
    </row>
    <row r="126" spans="1:19" x14ac:dyDescent="0.2">
      <c r="C126" s="31" t="s">
        <v>1093</v>
      </c>
    </row>
    <row r="127" spans="1:19" x14ac:dyDescent="0.2">
      <c r="D127" s="32" t="s">
        <v>1112</v>
      </c>
    </row>
    <row r="128" spans="1:19" x14ac:dyDescent="0.2">
      <c r="C128" s="31" t="s">
        <v>1076</v>
      </c>
    </row>
    <row r="129" spans="1:7" x14ac:dyDescent="0.2">
      <c r="D129" s="32" t="s">
        <v>1113</v>
      </c>
    </row>
    <row r="130" spans="1:7" x14ac:dyDescent="0.2">
      <c r="D130" s="32" t="s">
        <v>1114</v>
      </c>
    </row>
    <row r="132" spans="1:7" x14ac:dyDescent="0.2">
      <c r="A132" s="31" t="s">
        <v>997</v>
      </c>
    </row>
    <row r="133" spans="1:7" x14ac:dyDescent="0.2">
      <c r="C133" s="31" t="s">
        <v>1105</v>
      </c>
    </row>
    <row r="134" spans="1:7" x14ac:dyDescent="0.2">
      <c r="C134" s="31" t="s">
        <v>1115</v>
      </c>
    </row>
    <row r="135" spans="1:7" x14ac:dyDescent="0.2">
      <c r="D135" s="32" t="s">
        <v>1116</v>
      </c>
    </row>
    <row r="136" spans="1:7" x14ac:dyDescent="0.2">
      <c r="D136" s="32" t="s">
        <v>1117</v>
      </c>
    </row>
    <row r="137" spans="1:7" x14ac:dyDescent="0.2">
      <c r="D137" s="32" t="s">
        <v>1118</v>
      </c>
    </row>
    <row r="138" spans="1:7" x14ac:dyDescent="0.2">
      <c r="D138" s="32" t="s">
        <v>1119</v>
      </c>
    </row>
    <row r="139" spans="1:7" x14ac:dyDescent="0.2">
      <c r="D139" s="32" t="s">
        <v>1120</v>
      </c>
    </row>
    <row r="140" spans="1:7" x14ac:dyDescent="0.2">
      <c r="D140" s="31" t="s">
        <v>1121</v>
      </c>
      <c r="F140" s="32"/>
    </row>
    <row r="141" spans="1:7" x14ac:dyDescent="0.2">
      <c r="D141" s="34" t="s">
        <v>1391</v>
      </c>
      <c r="E141" s="34"/>
      <c r="F141" s="33"/>
      <c r="G141" s="34"/>
    </row>
    <row r="142" spans="1:7" x14ac:dyDescent="0.2">
      <c r="D142" s="34" t="s">
        <v>1392</v>
      </c>
      <c r="E142" s="34"/>
      <c r="F142" s="33"/>
      <c r="G142" s="34"/>
    </row>
    <row r="143" spans="1:7" x14ac:dyDescent="0.2">
      <c r="D143" s="34" t="s">
        <v>1393</v>
      </c>
      <c r="E143" s="34"/>
      <c r="F143" s="33"/>
      <c r="G143" s="34"/>
    </row>
    <row r="144" spans="1:7" x14ac:dyDescent="0.2">
      <c r="D144" s="34" t="s">
        <v>1394</v>
      </c>
      <c r="E144" s="34"/>
      <c r="F144" s="33"/>
      <c r="G144" s="34"/>
    </row>
    <row r="145" spans="1:9" x14ac:dyDescent="0.2">
      <c r="D145" s="34" t="s">
        <v>1395</v>
      </c>
      <c r="E145" s="34"/>
      <c r="F145" s="33"/>
      <c r="G145" s="34"/>
    </row>
    <row r="146" spans="1:9" x14ac:dyDescent="0.2">
      <c r="D146" s="34" t="s">
        <v>1396</v>
      </c>
      <c r="E146" s="34"/>
      <c r="F146" s="33"/>
      <c r="G146" s="34"/>
    </row>
    <row r="147" spans="1:9" x14ac:dyDescent="0.2">
      <c r="D147" s="34" t="s">
        <v>1397</v>
      </c>
      <c r="E147" s="34"/>
      <c r="F147" s="33"/>
      <c r="G147" s="34"/>
    </row>
    <row r="148" spans="1:9" x14ac:dyDescent="0.2">
      <c r="D148" s="34" t="s">
        <v>1398</v>
      </c>
      <c r="E148" s="34"/>
      <c r="F148" s="33"/>
      <c r="G148" s="34"/>
    </row>
    <row r="149" spans="1:9" x14ac:dyDescent="0.2">
      <c r="C149" s="34" t="s">
        <v>1122</v>
      </c>
      <c r="D149" s="34"/>
      <c r="E149" s="34"/>
      <c r="F149" s="33"/>
    </row>
    <row r="150" spans="1:9" x14ac:dyDescent="0.2">
      <c r="D150" s="34" t="s">
        <v>1399</v>
      </c>
      <c r="E150" s="34"/>
      <c r="F150" s="33"/>
      <c r="G150" s="34"/>
    </row>
    <row r="151" spans="1:9" x14ac:dyDescent="0.2">
      <c r="D151" s="34" t="s">
        <v>1400</v>
      </c>
      <c r="E151" s="34"/>
      <c r="F151" s="33"/>
      <c r="G151" s="34"/>
    </row>
    <row r="152" spans="1:9" x14ac:dyDescent="0.2">
      <c r="D152" s="34" t="s">
        <v>1401</v>
      </c>
      <c r="E152" s="34"/>
      <c r="F152" s="33"/>
      <c r="G152" s="34"/>
    </row>
    <row r="153" spans="1:9" x14ac:dyDescent="0.2">
      <c r="D153" s="31"/>
      <c r="F153" s="32"/>
    </row>
    <row r="154" spans="1:9" x14ac:dyDescent="0.2">
      <c r="C154" s="31" t="s">
        <v>1123</v>
      </c>
    </row>
    <row r="155" spans="1:9" x14ac:dyDescent="0.2">
      <c r="G155" s="31" t="s">
        <v>1124</v>
      </c>
    </row>
    <row r="158" spans="1:9" x14ac:dyDescent="0.2">
      <c r="A158" s="74"/>
      <c r="B158" s="74"/>
      <c r="C158" s="74"/>
      <c r="D158" s="74"/>
      <c r="E158" s="74"/>
      <c r="F158" s="74"/>
      <c r="G158" s="74"/>
      <c r="H158" s="74"/>
      <c r="I158" s="74"/>
    </row>
    <row r="159" spans="1:9" x14ac:dyDescent="0.2">
      <c r="A159" s="74"/>
      <c r="B159" s="74"/>
      <c r="C159" s="74"/>
      <c r="D159" s="74"/>
      <c r="E159" s="74"/>
      <c r="F159" s="74"/>
      <c r="G159" s="74"/>
      <c r="H159" s="74"/>
      <c r="I159" s="74"/>
    </row>
    <row r="160" spans="1:9" x14ac:dyDescent="0.2">
      <c r="A160" s="74"/>
      <c r="B160" s="74"/>
      <c r="C160" s="74"/>
      <c r="D160" s="74"/>
      <c r="E160" s="74"/>
      <c r="F160" s="74"/>
      <c r="G160" s="74"/>
      <c r="H160" s="74"/>
      <c r="I160" s="74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3EE9-6D88-42D1-9314-42A3BF675B22}">
  <dimension ref="A1:FK270"/>
  <sheetViews>
    <sheetView topLeftCell="CD1" workbookViewId="0">
      <selection activeCell="CB275" sqref="CB275"/>
    </sheetView>
  </sheetViews>
  <sheetFormatPr defaultRowHeight="15" x14ac:dyDescent="0.25"/>
  <cols>
    <col min="1" max="1" width="9.140625" style="37"/>
    <col min="2" max="2" width="87.42578125" style="37" customWidth="1"/>
    <col min="3" max="3" width="12.140625" style="37" customWidth="1"/>
    <col min="4" max="4" width="10.85546875" style="37" customWidth="1"/>
    <col min="5" max="5" width="12.28515625" style="37" customWidth="1"/>
    <col min="6" max="10" width="12.5703125" style="37" customWidth="1"/>
    <col min="11" max="11" width="12" style="37" customWidth="1"/>
    <col min="12" max="15" width="11.7109375" style="37" customWidth="1"/>
    <col min="16" max="16" width="11.28515625" style="37" customWidth="1"/>
    <col min="17" max="17" width="13.5703125" style="37" customWidth="1"/>
    <col min="18" max="18" width="12.42578125" style="37" customWidth="1"/>
    <col min="19" max="19" width="10.85546875" style="37" customWidth="1"/>
    <col min="20" max="20" width="14.7109375" style="37" customWidth="1"/>
    <col min="21" max="21" width="13.140625" style="37" customWidth="1"/>
    <col min="22" max="22" width="11.42578125" style="37" customWidth="1"/>
    <col min="23" max="23" width="13.28515625" style="37" customWidth="1"/>
    <col min="24" max="25" width="9.140625" style="37" customWidth="1"/>
    <col min="26" max="27" width="13.85546875" style="37" customWidth="1"/>
    <col min="28" max="28" width="12.28515625" style="37" customWidth="1"/>
    <col min="29" max="29" width="11.140625" style="37" customWidth="1"/>
    <col min="30" max="33" width="11.7109375" style="37" customWidth="1"/>
    <col min="34" max="34" width="15" style="37" customWidth="1"/>
    <col min="35" max="35" width="13" style="37" customWidth="1"/>
    <col min="36" max="38" width="14.42578125" style="37" customWidth="1"/>
    <col min="39" max="39" width="12.28515625" style="37" customWidth="1"/>
    <col min="40" max="40" width="11.28515625" style="37" customWidth="1"/>
    <col min="41" max="41" width="9.5703125" style="37" customWidth="1"/>
    <col min="42" max="42" width="11.5703125" style="37" customWidth="1"/>
    <col min="43" max="43" width="12.42578125" style="37" customWidth="1"/>
    <col min="44" max="45" width="11" style="37" customWidth="1"/>
    <col min="46" max="46" width="9.140625" style="37" customWidth="1"/>
    <col min="47" max="51" width="12.5703125" style="37" customWidth="1"/>
    <col min="52" max="52" width="14" style="37" customWidth="1"/>
    <col min="53" max="53" width="10.42578125" style="37" customWidth="1"/>
    <col min="54" max="54" width="12.42578125" style="37" customWidth="1"/>
    <col min="55" max="55" width="12.7109375" style="37" customWidth="1"/>
    <col min="56" max="56" width="10.85546875" style="37" customWidth="1"/>
    <col min="57" max="57" width="14.5703125" style="37" customWidth="1"/>
    <col min="58" max="58" width="10.5703125" style="37" customWidth="1"/>
    <col min="59" max="60" width="11.5703125" style="37" customWidth="1"/>
    <col min="61" max="61" width="9.85546875" style="37" customWidth="1"/>
    <col min="62" max="68" width="14.85546875" style="37" customWidth="1"/>
    <col min="69" max="69" width="10.42578125" style="37" customWidth="1"/>
    <col min="70" max="70" width="9.42578125" style="37" customWidth="1"/>
    <col min="71" max="71" width="15.5703125" style="37" customWidth="1"/>
    <col min="72" max="72" width="13" style="37" customWidth="1"/>
    <col min="73" max="73" width="13.140625" style="37" customWidth="1"/>
    <col min="74" max="74" width="11" style="37" customWidth="1"/>
    <col min="75" max="75" width="11.85546875" style="37" customWidth="1"/>
    <col min="76" max="76" width="29.42578125" style="37" customWidth="1"/>
    <col min="77" max="77" width="25" style="37" customWidth="1"/>
    <col min="78" max="78" width="28.140625" style="37" customWidth="1"/>
    <col min="79" max="79" width="15.7109375" style="37" customWidth="1"/>
    <col min="80" max="83" width="9.140625" style="37"/>
    <col min="84" max="84" width="51.28515625" style="37" customWidth="1"/>
    <col min="85" max="85" width="12" style="37" bestFit="1" customWidth="1"/>
    <col min="86" max="86" width="11.140625" style="37" bestFit="1" customWidth="1"/>
    <col min="87" max="92" width="12" style="37" bestFit="1" customWidth="1"/>
    <col min="93" max="95" width="11.28515625" style="37" bestFit="1" customWidth="1"/>
    <col min="96" max="96" width="11.140625" style="37" bestFit="1" customWidth="1"/>
    <col min="97" max="97" width="11.28515625" style="37" bestFit="1" customWidth="1"/>
    <col min="98" max="98" width="10.7109375" style="37" bestFit="1" customWidth="1"/>
    <col min="99" max="99" width="13.140625" style="37" bestFit="1" customWidth="1"/>
    <col min="100" max="100" width="12" style="37" bestFit="1" customWidth="1"/>
    <col min="101" max="101" width="10.28515625" style="37" bestFit="1" customWidth="1"/>
    <col min="102" max="102" width="14.5703125" style="37" bestFit="1" customWidth="1"/>
    <col min="103" max="103" width="12.5703125" style="37" bestFit="1" customWidth="1"/>
    <col min="104" max="104" width="11" style="37" bestFit="1" customWidth="1"/>
    <col min="105" max="105" width="12.7109375" style="37" bestFit="1" customWidth="1"/>
    <col min="106" max="107" width="10.140625" style="37" bestFit="1" customWidth="1"/>
    <col min="108" max="109" width="13.28515625" style="37" bestFit="1" customWidth="1"/>
    <col min="110" max="110" width="11.85546875" style="37" bestFit="1" customWidth="1"/>
    <col min="111" max="111" width="10.85546875" style="37" bestFit="1" customWidth="1"/>
    <col min="112" max="115" width="11.140625" style="37" bestFit="1" customWidth="1"/>
    <col min="116" max="116" width="14.5703125" style="37" bestFit="1" customWidth="1"/>
    <col min="117" max="117" width="12.7109375" style="37" bestFit="1" customWidth="1"/>
    <col min="118" max="120" width="14" style="37" bestFit="1" customWidth="1"/>
    <col min="121" max="121" width="11.5703125" style="37" bestFit="1" customWidth="1"/>
    <col min="122" max="122" width="11.140625" style="37" bestFit="1" customWidth="1"/>
    <col min="123" max="123" width="9" style="37" bestFit="1" customWidth="1"/>
    <col min="124" max="124" width="11.140625" style="37" bestFit="1" customWidth="1"/>
    <col min="125" max="125" width="11.7109375" style="37" bestFit="1" customWidth="1"/>
    <col min="126" max="127" width="10.28515625" style="37" bestFit="1" customWidth="1"/>
    <col min="128" max="128" width="10.140625" style="37" bestFit="1" customWidth="1"/>
    <col min="129" max="133" width="12.140625" style="37" bestFit="1" customWidth="1"/>
    <col min="134" max="134" width="13.28515625" style="37" bestFit="1" customWidth="1"/>
    <col min="135" max="135" width="10.140625" style="37" bestFit="1" customWidth="1"/>
    <col min="136" max="136" width="11.5703125" style="37" bestFit="1" customWidth="1"/>
    <col min="137" max="137" width="12.28515625" style="37" bestFit="1" customWidth="1"/>
    <col min="138" max="138" width="11.140625" style="37" bestFit="1" customWidth="1"/>
    <col min="139" max="139" width="14" style="37" bestFit="1" customWidth="1"/>
    <col min="140" max="142" width="11.140625" style="37" bestFit="1" customWidth="1"/>
    <col min="143" max="143" width="10.140625" style="37" bestFit="1" customWidth="1"/>
    <col min="144" max="150" width="14.28515625" style="37" bestFit="1" customWidth="1"/>
    <col min="151" max="151" width="11.140625" style="37" bestFit="1" customWidth="1"/>
    <col min="152" max="152" width="10.140625" style="37" bestFit="1" customWidth="1"/>
    <col min="153" max="153" width="15.28515625" style="37" bestFit="1" customWidth="1"/>
    <col min="154" max="154" width="10.140625" style="37" bestFit="1" customWidth="1"/>
    <col min="155" max="157" width="11.140625" style="37" bestFit="1" customWidth="1"/>
    <col min="158" max="158" width="29.7109375" style="37" bestFit="1" customWidth="1"/>
    <col min="159" max="159" width="25" style="37" bestFit="1" customWidth="1"/>
    <col min="160" max="160" width="28.42578125" style="37" bestFit="1" customWidth="1"/>
    <col min="161" max="161" width="13.85546875" style="37" bestFit="1" customWidth="1"/>
    <col min="162" max="162" width="9.140625" style="37"/>
    <col min="163" max="163" width="13.85546875" style="37" bestFit="1" customWidth="1"/>
    <col min="164" max="164" width="9.140625" style="37"/>
    <col min="165" max="165" width="12" style="37" bestFit="1" customWidth="1"/>
    <col min="166" max="16384" width="9.140625" style="37"/>
  </cols>
  <sheetData>
    <row r="1" spans="1:167" x14ac:dyDescent="0.25">
      <c r="A1" s="37" t="s">
        <v>0</v>
      </c>
      <c r="CF1" s="38" t="s">
        <v>1366</v>
      </c>
    </row>
    <row r="2" spans="1:167" x14ac:dyDescent="0.25">
      <c r="A2" s="37" t="s">
        <v>1367</v>
      </c>
    </row>
    <row r="3" spans="1:167" x14ac:dyDescent="0.25"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37" t="s">
        <v>11</v>
      </c>
      <c r="N3" s="37" t="s">
        <v>12</v>
      </c>
      <c r="O3" s="37" t="s">
        <v>13</v>
      </c>
      <c r="P3" s="37" t="s">
        <v>14</v>
      </c>
      <c r="Q3" s="37" t="s">
        <v>15</v>
      </c>
      <c r="R3" s="37" t="s">
        <v>16</v>
      </c>
      <c r="S3" s="37" t="s">
        <v>17</v>
      </c>
      <c r="T3" s="37" t="s">
        <v>18</v>
      </c>
      <c r="U3" s="37" t="s">
        <v>19</v>
      </c>
      <c r="V3" s="37" t="s">
        <v>20</v>
      </c>
      <c r="W3" s="37" t="s">
        <v>21</v>
      </c>
      <c r="X3" s="37" t="s">
        <v>22</v>
      </c>
      <c r="Y3" s="37" t="s">
        <v>23</v>
      </c>
      <c r="Z3" s="37" t="s">
        <v>24</v>
      </c>
      <c r="AA3" s="37" t="s">
        <v>25</v>
      </c>
      <c r="AB3" s="37" t="s">
        <v>26</v>
      </c>
      <c r="AC3" s="37" t="s">
        <v>27</v>
      </c>
      <c r="AD3" s="37" t="s">
        <v>570</v>
      </c>
      <c r="AE3" s="37" t="s">
        <v>29</v>
      </c>
      <c r="AF3" s="37" t="s">
        <v>30</v>
      </c>
      <c r="AG3" s="37" t="s">
        <v>31</v>
      </c>
      <c r="AH3" s="37" t="s">
        <v>32</v>
      </c>
      <c r="AI3" s="37" t="s">
        <v>33</v>
      </c>
      <c r="AJ3" s="37" t="s">
        <v>34</v>
      </c>
      <c r="AK3" s="37" t="s">
        <v>35</v>
      </c>
      <c r="AL3" s="37" t="s">
        <v>36</v>
      </c>
      <c r="AM3" s="37" t="s">
        <v>37</v>
      </c>
      <c r="AN3" s="37" t="s">
        <v>38</v>
      </c>
      <c r="AO3" s="37" t="s">
        <v>39</v>
      </c>
      <c r="AP3" s="37" t="s">
        <v>40</v>
      </c>
      <c r="AQ3" s="37" t="s">
        <v>41</v>
      </c>
      <c r="AR3" s="37" t="s">
        <v>42</v>
      </c>
      <c r="AS3" s="37" t="s">
        <v>43</v>
      </c>
      <c r="AT3" s="37" t="s">
        <v>44</v>
      </c>
      <c r="AU3" s="37" t="s">
        <v>45</v>
      </c>
      <c r="AV3" s="37" t="s">
        <v>46</v>
      </c>
      <c r="AW3" s="37" t="s">
        <v>47</v>
      </c>
      <c r="AX3" s="37" t="s">
        <v>48</v>
      </c>
      <c r="AY3" s="37" t="s">
        <v>49</v>
      </c>
      <c r="AZ3" s="37" t="s">
        <v>50</v>
      </c>
      <c r="BA3" s="37" t="s">
        <v>51</v>
      </c>
      <c r="BB3" s="37" t="s">
        <v>52</v>
      </c>
      <c r="BC3" s="37" t="s">
        <v>53</v>
      </c>
      <c r="BD3" s="37" t="s">
        <v>54</v>
      </c>
      <c r="BE3" s="37" t="s">
        <v>55</v>
      </c>
      <c r="BF3" s="37" t="s">
        <v>56</v>
      </c>
      <c r="BG3" s="37" t="s">
        <v>57</v>
      </c>
      <c r="BH3" s="37" t="s">
        <v>58</v>
      </c>
      <c r="BI3" s="37" t="s">
        <v>59</v>
      </c>
      <c r="BJ3" s="37" t="s">
        <v>60</v>
      </c>
      <c r="BK3" s="37" t="s">
        <v>61</v>
      </c>
      <c r="BL3" s="37" t="s">
        <v>62</v>
      </c>
      <c r="BM3" s="37" t="s">
        <v>63</v>
      </c>
      <c r="BN3" s="37" t="s">
        <v>64</v>
      </c>
      <c r="BO3" s="37" t="s">
        <v>65</v>
      </c>
      <c r="BP3" s="37" t="s">
        <v>66</v>
      </c>
      <c r="BQ3" s="37" t="s">
        <v>67</v>
      </c>
      <c r="BR3" s="37" t="s">
        <v>68</v>
      </c>
      <c r="BS3" s="37" t="s">
        <v>69</v>
      </c>
      <c r="BT3" s="37" t="s">
        <v>70</v>
      </c>
      <c r="BU3" s="37" t="s">
        <v>71</v>
      </c>
      <c r="BV3" s="37" t="s">
        <v>571</v>
      </c>
      <c r="BW3" s="37" t="s">
        <v>73</v>
      </c>
      <c r="BX3" s="37" t="s">
        <v>74</v>
      </c>
      <c r="BY3" s="37" t="s">
        <v>75</v>
      </c>
      <c r="BZ3" s="37" t="s">
        <v>76</v>
      </c>
      <c r="CA3" s="39" t="s">
        <v>996</v>
      </c>
      <c r="CG3" s="37" t="s">
        <v>1</v>
      </c>
      <c r="CH3" s="37" t="s">
        <v>2</v>
      </c>
      <c r="CI3" s="37" t="s">
        <v>3</v>
      </c>
      <c r="CJ3" s="37" t="s">
        <v>4</v>
      </c>
      <c r="CK3" s="37" t="s">
        <v>5</v>
      </c>
      <c r="CL3" s="37" t="s">
        <v>6</v>
      </c>
      <c r="CM3" s="37" t="s">
        <v>7</v>
      </c>
      <c r="CN3" s="37" t="s">
        <v>8</v>
      </c>
      <c r="CO3" s="37" t="s">
        <v>9</v>
      </c>
      <c r="CP3" s="37" t="s">
        <v>10</v>
      </c>
      <c r="CQ3" s="37" t="s">
        <v>11</v>
      </c>
      <c r="CR3" s="37" t="s">
        <v>12</v>
      </c>
      <c r="CS3" s="37" t="s">
        <v>13</v>
      </c>
      <c r="CT3" s="37" t="s">
        <v>14</v>
      </c>
      <c r="CU3" s="37" t="s">
        <v>15</v>
      </c>
      <c r="CV3" s="37" t="s">
        <v>16</v>
      </c>
      <c r="CW3" s="37" t="s">
        <v>17</v>
      </c>
      <c r="CX3" s="37" t="s">
        <v>18</v>
      </c>
      <c r="CY3" s="37" t="s">
        <v>19</v>
      </c>
      <c r="CZ3" s="37" t="s">
        <v>20</v>
      </c>
      <c r="DA3" s="37" t="s">
        <v>21</v>
      </c>
      <c r="DB3" s="37" t="s">
        <v>22</v>
      </c>
      <c r="DC3" s="37" t="s">
        <v>23</v>
      </c>
      <c r="DD3" s="37" t="s">
        <v>24</v>
      </c>
      <c r="DE3" s="37" t="s">
        <v>25</v>
      </c>
      <c r="DF3" s="37" t="s">
        <v>26</v>
      </c>
      <c r="DG3" s="37" t="s">
        <v>27</v>
      </c>
      <c r="DH3" s="37" t="s">
        <v>570</v>
      </c>
      <c r="DI3" s="37" t="s">
        <v>29</v>
      </c>
      <c r="DJ3" s="37" t="s">
        <v>30</v>
      </c>
      <c r="DK3" s="37" t="s">
        <v>31</v>
      </c>
      <c r="DL3" s="37" t="s">
        <v>32</v>
      </c>
      <c r="DM3" s="37" t="s">
        <v>33</v>
      </c>
      <c r="DN3" s="37" t="s">
        <v>34</v>
      </c>
      <c r="DO3" s="37" t="s">
        <v>35</v>
      </c>
      <c r="DP3" s="37" t="s">
        <v>36</v>
      </c>
      <c r="DQ3" s="37" t="s">
        <v>37</v>
      </c>
      <c r="DR3" s="37" t="s">
        <v>38</v>
      </c>
      <c r="DS3" s="37" t="s">
        <v>39</v>
      </c>
      <c r="DT3" s="37" t="s">
        <v>40</v>
      </c>
      <c r="DU3" s="37" t="s">
        <v>41</v>
      </c>
      <c r="DV3" s="37" t="s">
        <v>42</v>
      </c>
      <c r="DW3" s="37" t="s">
        <v>43</v>
      </c>
      <c r="DX3" s="37" t="s">
        <v>44</v>
      </c>
      <c r="DY3" s="37" t="s">
        <v>45</v>
      </c>
      <c r="DZ3" s="37" t="s">
        <v>46</v>
      </c>
      <c r="EA3" s="37" t="s">
        <v>47</v>
      </c>
      <c r="EB3" s="37" t="s">
        <v>48</v>
      </c>
      <c r="EC3" s="37" t="s">
        <v>49</v>
      </c>
      <c r="ED3" s="37" t="s">
        <v>50</v>
      </c>
      <c r="EE3" s="37" t="s">
        <v>51</v>
      </c>
      <c r="EF3" s="37" t="s">
        <v>52</v>
      </c>
      <c r="EG3" s="37" t="s">
        <v>53</v>
      </c>
      <c r="EH3" s="37" t="s">
        <v>54</v>
      </c>
      <c r="EI3" s="37" t="s">
        <v>55</v>
      </c>
      <c r="EJ3" s="37" t="s">
        <v>56</v>
      </c>
      <c r="EK3" s="37" t="s">
        <v>57</v>
      </c>
      <c r="EL3" s="37" t="s">
        <v>58</v>
      </c>
      <c r="EM3" s="37" t="s">
        <v>59</v>
      </c>
      <c r="EN3" s="37" t="s">
        <v>60</v>
      </c>
      <c r="EO3" s="37" t="s">
        <v>61</v>
      </c>
      <c r="EP3" s="37" t="s">
        <v>62</v>
      </c>
      <c r="EQ3" s="37" t="s">
        <v>63</v>
      </c>
      <c r="ER3" s="37" t="s">
        <v>64</v>
      </c>
      <c r="ES3" s="37" t="s">
        <v>65</v>
      </c>
      <c r="ET3" s="37" t="s">
        <v>66</v>
      </c>
      <c r="EU3" s="37" t="s">
        <v>67</v>
      </c>
      <c r="EV3" s="37" t="s">
        <v>68</v>
      </c>
      <c r="EW3" s="37" t="s">
        <v>69</v>
      </c>
      <c r="EX3" s="37" t="s">
        <v>70</v>
      </c>
      <c r="EY3" s="37" t="s">
        <v>71</v>
      </c>
      <c r="EZ3" s="37" t="s">
        <v>571</v>
      </c>
      <c r="FA3" s="37" t="s">
        <v>73</v>
      </c>
      <c r="FB3" s="37" t="s">
        <v>74</v>
      </c>
      <c r="FC3" s="37" t="s">
        <v>75</v>
      </c>
      <c r="FD3" s="37" t="s">
        <v>76</v>
      </c>
      <c r="FE3" s="40" t="s">
        <v>996</v>
      </c>
    </row>
    <row r="4" spans="1:167" x14ac:dyDescent="0.25">
      <c r="A4" s="41" t="s">
        <v>77</v>
      </c>
      <c r="B4" s="41" t="s">
        <v>78</v>
      </c>
      <c r="CF4" s="42" t="s">
        <v>79</v>
      </c>
      <c r="CG4" s="43">
        <f>SUM(CG5:CG9)</f>
        <v>46216951</v>
      </c>
      <c r="CH4" s="43">
        <f t="shared" ref="CH4:ES4" si="0">SUM(CH5:CH9)</f>
        <v>399862537</v>
      </c>
      <c r="CI4" s="43">
        <f t="shared" si="0"/>
        <v>24575231</v>
      </c>
      <c r="CJ4" s="43">
        <f t="shared" si="0"/>
        <v>147970205</v>
      </c>
      <c r="CK4" s="43">
        <f t="shared" si="0"/>
        <v>53855379</v>
      </c>
      <c r="CL4" s="43">
        <f t="shared" si="0"/>
        <v>45300906</v>
      </c>
      <c r="CM4" s="43">
        <f t="shared" si="0"/>
        <v>57257516</v>
      </c>
      <c r="CN4" s="43">
        <f t="shared" si="0"/>
        <v>214283363</v>
      </c>
      <c r="CO4" s="43">
        <f t="shared" si="0"/>
        <v>37290172</v>
      </c>
      <c r="CP4" s="43">
        <f t="shared" si="0"/>
        <v>32952054</v>
      </c>
      <c r="CQ4" s="43">
        <f t="shared" si="0"/>
        <v>26872471</v>
      </c>
      <c r="CR4" s="43">
        <f t="shared" si="0"/>
        <v>476531274</v>
      </c>
      <c r="CS4" s="43">
        <f t="shared" si="0"/>
        <v>645190670</v>
      </c>
      <c r="CT4" s="43">
        <f t="shared" si="0"/>
        <v>29162646</v>
      </c>
      <c r="CU4" s="43">
        <f t="shared" si="0"/>
        <v>1223962580</v>
      </c>
      <c r="CV4" s="43">
        <f t="shared" si="0"/>
        <v>141098115</v>
      </c>
      <c r="CW4" s="43">
        <f t="shared" si="0"/>
        <v>87134201</v>
      </c>
      <c r="CX4" s="43">
        <f t="shared" si="0"/>
        <v>106606668</v>
      </c>
      <c r="CY4" s="43">
        <f t="shared" si="0"/>
        <v>0</v>
      </c>
      <c r="CZ4" s="43">
        <f t="shared" si="0"/>
        <v>92916847</v>
      </c>
      <c r="DA4" s="43">
        <f t="shared" si="0"/>
        <v>184025104</v>
      </c>
      <c r="DB4" s="43">
        <f t="shared" si="0"/>
        <v>24182435</v>
      </c>
      <c r="DC4" s="43">
        <f t="shared" si="0"/>
        <v>65401204</v>
      </c>
      <c r="DD4" s="43">
        <f t="shared" si="0"/>
        <v>361262472</v>
      </c>
      <c r="DE4" s="43">
        <f t="shared" si="0"/>
        <v>46025750</v>
      </c>
      <c r="DF4" s="43">
        <f t="shared" si="0"/>
        <v>54690754</v>
      </c>
      <c r="DG4" s="43">
        <f t="shared" si="0"/>
        <v>58852934</v>
      </c>
      <c r="DH4" s="43">
        <f t="shared" si="0"/>
        <v>260640141</v>
      </c>
      <c r="DI4" s="43">
        <f t="shared" si="0"/>
        <v>19934597</v>
      </c>
      <c r="DJ4" s="43">
        <f t="shared" si="0"/>
        <v>52253762</v>
      </c>
      <c r="DK4" s="43">
        <f t="shared" si="0"/>
        <v>18926106</v>
      </c>
      <c r="DL4" s="43">
        <f t="shared" si="0"/>
        <v>156077825</v>
      </c>
      <c r="DM4" s="43">
        <f t="shared" si="0"/>
        <v>1240577795</v>
      </c>
      <c r="DN4" s="43">
        <f t="shared" si="0"/>
        <v>136397172</v>
      </c>
      <c r="DO4" s="43">
        <f t="shared" si="0"/>
        <v>17312653</v>
      </c>
      <c r="DP4" s="43">
        <f t="shared" si="0"/>
        <v>24284213</v>
      </c>
      <c r="DQ4" s="43">
        <f t="shared" si="0"/>
        <v>46310095</v>
      </c>
      <c r="DR4" s="43">
        <f t="shared" si="0"/>
        <v>828728939</v>
      </c>
      <c r="DS4" s="43">
        <f t="shared" si="0"/>
        <v>0</v>
      </c>
      <c r="DT4" s="43">
        <f t="shared" si="0"/>
        <v>175591172</v>
      </c>
      <c r="DU4" s="43">
        <f t="shared" si="0"/>
        <v>230431084</v>
      </c>
      <c r="DV4" s="43">
        <f t="shared" si="0"/>
        <v>84926909</v>
      </c>
      <c r="DW4" s="43">
        <f t="shared" si="0"/>
        <v>48838412</v>
      </c>
      <c r="DX4" s="43">
        <f t="shared" si="0"/>
        <v>28935274</v>
      </c>
      <c r="DY4" s="43">
        <f t="shared" si="0"/>
        <v>460367969</v>
      </c>
      <c r="DZ4" s="43">
        <f t="shared" si="0"/>
        <v>160598865</v>
      </c>
      <c r="EA4" s="43">
        <f t="shared" si="0"/>
        <v>44573368</v>
      </c>
      <c r="EB4" s="43">
        <f t="shared" si="0"/>
        <v>60466226</v>
      </c>
      <c r="EC4" s="43">
        <f t="shared" si="0"/>
        <v>309289149</v>
      </c>
      <c r="ED4" s="43">
        <f t="shared" si="0"/>
        <v>17021120</v>
      </c>
      <c r="EE4" s="43">
        <f t="shared" si="0"/>
        <v>63778127</v>
      </c>
      <c r="EF4" s="43">
        <f t="shared" si="0"/>
        <v>65833278</v>
      </c>
      <c r="EG4" s="43">
        <f t="shared" si="0"/>
        <v>102407664</v>
      </c>
      <c r="EH4" s="43">
        <f t="shared" si="0"/>
        <v>177991323</v>
      </c>
      <c r="EI4" s="43">
        <f t="shared" si="0"/>
        <v>220022351</v>
      </c>
      <c r="EJ4" s="43">
        <f t="shared" si="0"/>
        <v>246148745</v>
      </c>
      <c r="EK4" s="43">
        <f t="shared" si="0"/>
        <v>525834995</v>
      </c>
      <c r="EL4" s="43">
        <f t="shared" si="0"/>
        <v>492024120</v>
      </c>
      <c r="EM4" s="43">
        <f t="shared" si="0"/>
        <v>41240622</v>
      </c>
      <c r="EN4" s="43">
        <f t="shared" si="0"/>
        <v>88975633</v>
      </c>
      <c r="EO4" s="43">
        <f t="shared" si="0"/>
        <v>171196894</v>
      </c>
      <c r="EP4" s="43">
        <f t="shared" si="0"/>
        <v>52552546</v>
      </c>
      <c r="EQ4" s="43">
        <f t="shared" si="0"/>
        <v>44485265</v>
      </c>
      <c r="ER4" s="43">
        <f t="shared" si="0"/>
        <v>174593056</v>
      </c>
      <c r="ES4" s="43">
        <f t="shared" si="0"/>
        <v>194300159</v>
      </c>
      <c r="ET4" s="43">
        <f t="shared" ref="ET4:FE4" si="1">SUM(ET5:ET9)</f>
        <v>160800400</v>
      </c>
      <c r="EU4" s="43">
        <f t="shared" si="1"/>
        <v>227742898</v>
      </c>
      <c r="EV4" s="43">
        <f t="shared" si="1"/>
        <v>56485333</v>
      </c>
      <c r="EW4" s="43">
        <f t="shared" si="1"/>
        <v>75798903</v>
      </c>
      <c r="EX4" s="43">
        <f t="shared" si="1"/>
        <v>85712555</v>
      </c>
      <c r="EY4" s="43">
        <f t="shared" si="1"/>
        <v>144230643</v>
      </c>
      <c r="EZ4" s="43">
        <f t="shared" si="1"/>
        <v>279559210</v>
      </c>
      <c r="FA4" s="43">
        <f t="shared" si="1"/>
        <v>284347301</v>
      </c>
      <c r="FB4" s="43">
        <f t="shared" si="1"/>
        <v>237812725</v>
      </c>
      <c r="FC4" s="43">
        <f t="shared" si="1"/>
        <v>247608029</v>
      </c>
      <c r="FD4" s="43">
        <f t="shared" si="1"/>
        <v>23477937</v>
      </c>
      <c r="FE4" s="43">
        <f t="shared" si="1"/>
        <v>13590923997</v>
      </c>
      <c r="FG4" s="43"/>
      <c r="FH4" s="44"/>
      <c r="FK4" s="43"/>
    </row>
    <row r="5" spans="1:167" x14ac:dyDescent="0.25">
      <c r="A5" s="41" t="s">
        <v>80</v>
      </c>
      <c r="B5" s="41" t="s">
        <v>81</v>
      </c>
      <c r="CF5" s="45" t="s">
        <v>82</v>
      </c>
      <c r="CG5" s="43">
        <f>SUM(C4:C13)+C177</f>
        <v>11058541</v>
      </c>
      <c r="CH5" s="43">
        <f t="shared" ref="CH5:ES5" si="2">SUM(D4:D13)+D177</f>
        <v>139090526</v>
      </c>
      <c r="CI5" s="43">
        <f t="shared" si="2"/>
        <v>5973991</v>
      </c>
      <c r="CJ5" s="43">
        <f t="shared" si="2"/>
        <v>50666616</v>
      </c>
      <c r="CK5" s="43">
        <f t="shared" si="2"/>
        <v>15549270</v>
      </c>
      <c r="CL5" s="43">
        <f t="shared" si="2"/>
        <v>10341343</v>
      </c>
      <c r="CM5" s="43">
        <f t="shared" si="2"/>
        <v>21500869</v>
      </c>
      <c r="CN5" s="43">
        <f t="shared" si="2"/>
        <v>73435312</v>
      </c>
      <c r="CO5" s="43">
        <f t="shared" si="2"/>
        <v>9424664</v>
      </c>
      <c r="CP5" s="43">
        <f t="shared" si="2"/>
        <v>6381574</v>
      </c>
      <c r="CQ5" s="43">
        <f t="shared" si="2"/>
        <v>4701904</v>
      </c>
      <c r="CR5" s="43">
        <f t="shared" si="2"/>
        <v>270924172</v>
      </c>
      <c r="CS5" s="43">
        <f t="shared" si="2"/>
        <v>278315416</v>
      </c>
      <c r="CT5" s="43">
        <f t="shared" si="2"/>
        <v>10604250</v>
      </c>
      <c r="CU5" s="43">
        <f t="shared" si="2"/>
        <v>717641298</v>
      </c>
      <c r="CV5" s="43">
        <f t="shared" si="2"/>
        <v>49322392</v>
      </c>
      <c r="CW5" s="43">
        <f t="shared" si="2"/>
        <v>27042783</v>
      </c>
      <c r="CX5" s="43">
        <f t="shared" si="2"/>
        <v>27056224</v>
      </c>
      <c r="CY5" s="43">
        <f t="shared" si="2"/>
        <v>0</v>
      </c>
      <c r="CZ5" s="43">
        <f t="shared" si="2"/>
        <v>30842992</v>
      </c>
      <c r="DA5" s="43">
        <f t="shared" si="2"/>
        <v>55566497</v>
      </c>
      <c r="DB5" s="43">
        <f t="shared" si="2"/>
        <v>2594749</v>
      </c>
      <c r="DC5" s="43">
        <f t="shared" si="2"/>
        <v>7122500</v>
      </c>
      <c r="DD5" s="43">
        <f t="shared" si="2"/>
        <v>111955711</v>
      </c>
      <c r="DE5" s="43">
        <f t="shared" si="2"/>
        <v>19576071</v>
      </c>
      <c r="DF5" s="43">
        <f t="shared" si="2"/>
        <v>16853026</v>
      </c>
      <c r="DG5" s="43">
        <f t="shared" si="2"/>
        <v>31426282</v>
      </c>
      <c r="DH5" s="43">
        <f t="shared" si="2"/>
        <v>85602186</v>
      </c>
      <c r="DI5" s="43">
        <f t="shared" si="2"/>
        <v>3089840</v>
      </c>
      <c r="DJ5" s="43">
        <f t="shared" si="2"/>
        <v>8931224</v>
      </c>
      <c r="DK5" s="43">
        <f t="shared" si="2"/>
        <v>2749476</v>
      </c>
      <c r="DL5" s="43">
        <f t="shared" si="2"/>
        <v>67138948</v>
      </c>
      <c r="DM5" s="43">
        <f t="shared" si="2"/>
        <v>440327743</v>
      </c>
      <c r="DN5" s="43">
        <f t="shared" si="2"/>
        <v>35675569</v>
      </c>
      <c r="DO5" s="43">
        <f t="shared" si="2"/>
        <v>3456252</v>
      </c>
      <c r="DP5" s="43">
        <f t="shared" si="2"/>
        <v>8268947</v>
      </c>
      <c r="DQ5" s="43">
        <f t="shared" si="2"/>
        <v>12031612</v>
      </c>
      <c r="DR5" s="43">
        <f t="shared" si="2"/>
        <v>385646395</v>
      </c>
      <c r="DS5" s="43">
        <f t="shared" si="2"/>
        <v>0</v>
      </c>
      <c r="DT5" s="43">
        <f t="shared" si="2"/>
        <v>58862233</v>
      </c>
      <c r="DU5" s="43">
        <f t="shared" si="2"/>
        <v>81094264</v>
      </c>
      <c r="DV5" s="43">
        <f t="shared" si="2"/>
        <v>21526475</v>
      </c>
      <c r="DW5" s="43">
        <f t="shared" si="2"/>
        <v>13498837</v>
      </c>
      <c r="DX5" s="43">
        <f t="shared" si="2"/>
        <v>6410435</v>
      </c>
      <c r="DY5" s="43">
        <f t="shared" si="2"/>
        <v>174211195</v>
      </c>
      <c r="DZ5" s="43">
        <f t="shared" si="2"/>
        <v>66184833</v>
      </c>
      <c r="EA5" s="43">
        <f t="shared" si="2"/>
        <v>14505452</v>
      </c>
      <c r="EB5" s="43">
        <f t="shared" si="2"/>
        <v>13678200</v>
      </c>
      <c r="EC5" s="43">
        <f t="shared" si="2"/>
        <v>119431838</v>
      </c>
      <c r="ED5" s="43">
        <f t="shared" si="2"/>
        <v>6021984</v>
      </c>
      <c r="EE5" s="43">
        <f t="shared" si="2"/>
        <v>10464250</v>
      </c>
      <c r="EF5" s="43">
        <f t="shared" si="2"/>
        <v>15531996</v>
      </c>
      <c r="EG5" s="43">
        <f t="shared" si="2"/>
        <v>30981237</v>
      </c>
      <c r="EH5" s="43">
        <f t="shared" si="2"/>
        <v>76937460</v>
      </c>
      <c r="EI5" s="43">
        <f t="shared" si="2"/>
        <v>68428969</v>
      </c>
      <c r="EJ5" s="43">
        <f t="shared" si="2"/>
        <v>81833783</v>
      </c>
      <c r="EK5" s="43">
        <f t="shared" si="2"/>
        <v>279972538</v>
      </c>
      <c r="EL5" s="43">
        <f t="shared" si="2"/>
        <v>187735431</v>
      </c>
      <c r="EM5" s="43">
        <f t="shared" si="2"/>
        <v>7754921</v>
      </c>
      <c r="EN5" s="43">
        <f t="shared" si="2"/>
        <v>26418993</v>
      </c>
      <c r="EO5" s="43">
        <f t="shared" si="2"/>
        <v>48154238</v>
      </c>
      <c r="EP5" s="43">
        <f t="shared" si="2"/>
        <v>17338709</v>
      </c>
      <c r="EQ5" s="43">
        <f t="shared" si="2"/>
        <v>11774170</v>
      </c>
      <c r="ER5" s="43">
        <f t="shared" si="2"/>
        <v>79912479</v>
      </c>
      <c r="ES5" s="43">
        <f t="shared" si="2"/>
        <v>62974670</v>
      </c>
      <c r="ET5" s="43">
        <f t="shared" ref="ET5:FE5" si="3">SUM(BP4:BP13)+BP177</f>
        <v>63156060</v>
      </c>
      <c r="EU5" s="43">
        <f t="shared" si="3"/>
        <v>54478079</v>
      </c>
      <c r="EV5" s="43">
        <f t="shared" si="3"/>
        <v>11361022</v>
      </c>
      <c r="EW5" s="43">
        <f t="shared" si="3"/>
        <v>16058233</v>
      </c>
      <c r="EX5" s="43">
        <f t="shared" si="3"/>
        <v>29591173</v>
      </c>
      <c r="EY5" s="43">
        <f t="shared" si="3"/>
        <v>67689875</v>
      </c>
      <c r="EZ5" s="43">
        <f t="shared" si="3"/>
        <v>105204552</v>
      </c>
      <c r="FA5" s="43">
        <f t="shared" si="3"/>
        <v>124863726</v>
      </c>
      <c r="FB5" s="44">
        <f t="shared" si="3"/>
        <v>0</v>
      </c>
      <c r="FC5" s="44">
        <f t="shared" si="3"/>
        <v>0</v>
      </c>
      <c r="FD5" s="44">
        <f t="shared" si="3"/>
        <v>0</v>
      </c>
      <c r="FE5" s="43">
        <f t="shared" si="3"/>
        <v>5111929475</v>
      </c>
      <c r="FG5" s="43"/>
      <c r="FH5" s="44"/>
      <c r="FK5" s="43"/>
    </row>
    <row r="6" spans="1:167" x14ac:dyDescent="0.25">
      <c r="A6" s="41" t="s">
        <v>83</v>
      </c>
      <c r="B6" s="41" t="s">
        <v>84</v>
      </c>
      <c r="C6" s="43">
        <v>9950212</v>
      </c>
      <c r="D6" s="43">
        <v>97770805</v>
      </c>
      <c r="E6" s="43">
        <v>5558270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43">
        <v>9058534</v>
      </c>
      <c r="L6" s="43">
        <v>5766239</v>
      </c>
      <c r="M6" s="43">
        <v>3816844</v>
      </c>
      <c r="N6" s="37">
        <v>0</v>
      </c>
      <c r="O6" s="43">
        <v>226426597</v>
      </c>
      <c r="P6" s="37">
        <v>0</v>
      </c>
      <c r="Q6" s="43">
        <v>529318909</v>
      </c>
      <c r="R6" s="43">
        <v>34887129</v>
      </c>
      <c r="S6" s="43">
        <v>24487505</v>
      </c>
      <c r="T6" s="43">
        <v>19993521</v>
      </c>
      <c r="U6" s="37">
        <v>0</v>
      </c>
      <c r="V6" s="43">
        <v>11205742</v>
      </c>
      <c r="W6" s="43">
        <v>51868804</v>
      </c>
      <c r="X6" s="43">
        <v>1974106</v>
      </c>
      <c r="Y6" s="37">
        <v>0</v>
      </c>
      <c r="Z6" s="43">
        <v>106506555</v>
      </c>
      <c r="AA6" s="43">
        <v>15942243</v>
      </c>
      <c r="AB6" s="43">
        <v>16086167</v>
      </c>
      <c r="AC6" s="37">
        <v>0</v>
      </c>
      <c r="AD6" s="37">
        <v>0</v>
      </c>
      <c r="AE6" s="37">
        <v>0</v>
      </c>
      <c r="AF6" s="43">
        <v>8132198</v>
      </c>
      <c r="AG6" s="37">
        <v>0</v>
      </c>
      <c r="AH6" s="43">
        <v>63792960</v>
      </c>
      <c r="AI6" s="43">
        <v>406535841</v>
      </c>
      <c r="AJ6" s="37">
        <v>0</v>
      </c>
      <c r="AK6" s="37">
        <v>0</v>
      </c>
      <c r="AL6" s="37">
        <v>0</v>
      </c>
      <c r="AM6" s="44">
        <v>0</v>
      </c>
      <c r="AN6" s="43">
        <v>266937729</v>
      </c>
      <c r="AO6" s="37">
        <v>0</v>
      </c>
      <c r="AP6" s="37">
        <v>0</v>
      </c>
      <c r="AQ6" s="43">
        <v>72820896</v>
      </c>
      <c r="AR6" s="43">
        <v>20128258</v>
      </c>
      <c r="AS6" s="43">
        <v>12012972</v>
      </c>
      <c r="AT6" s="37">
        <v>0</v>
      </c>
      <c r="AU6" s="43">
        <v>129555212</v>
      </c>
      <c r="AV6" s="43">
        <v>58460921</v>
      </c>
      <c r="AW6" s="43">
        <v>14225461</v>
      </c>
      <c r="AX6" s="43">
        <v>12833744</v>
      </c>
      <c r="AY6" s="43">
        <v>116443556</v>
      </c>
      <c r="AZ6" s="37">
        <v>0</v>
      </c>
      <c r="BA6" s="43">
        <v>9052039</v>
      </c>
      <c r="BB6" s="43">
        <v>10199424</v>
      </c>
      <c r="BC6" s="43">
        <v>26519795</v>
      </c>
      <c r="BD6" s="37">
        <v>0</v>
      </c>
      <c r="BE6" s="43">
        <v>58051100</v>
      </c>
      <c r="BF6" s="43">
        <v>79977911</v>
      </c>
      <c r="BG6" s="37">
        <v>0</v>
      </c>
      <c r="BH6" s="37">
        <v>0</v>
      </c>
      <c r="BI6" s="37">
        <v>0</v>
      </c>
      <c r="BJ6" s="43">
        <v>25302704</v>
      </c>
      <c r="BK6" s="43">
        <v>40540376</v>
      </c>
      <c r="BL6" s="43">
        <v>11035994</v>
      </c>
      <c r="BM6" s="43">
        <v>10043606</v>
      </c>
      <c r="BN6" s="43">
        <v>50701273</v>
      </c>
      <c r="BO6" s="43">
        <v>54535936</v>
      </c>
      <c r="BP6" s="43">
        <v>58320930</v>
      </c>
      <c r="BQ6" s="37">
        <v>0</v>
      </c>
      <c r="BR6" s="43">
        <v>8319848</v>
      </c>
      <c r="BS6" s="43">
        <v>12706208</v>
      </c>
      <c r="BT6" s="43">
        <v>14177090</v>
      </c>
      <c r="BU6" s="43">
        <v>61523365</v>
      </c>
      <c r="BV6" s="43">
        <v>84943568</v>
      </c>
      <c r="BW6" s="43">
        <v>102668868</v>
      </c>
      <c r="BX6" s="37">
        <v>0</v>
      </c>
      <c r="BY6" s="37">
        <v>0</v>
      </c>
      <c r="BZ6" s="37">
        <v>0</v>
      </c>
      <c r="CA6" s="44">
        <f>SUM(C6:BZ6)</f>
        <v>3071117965</v>
      </c>
      <c r="CF6" s="46" t="s">
        <v>85</v>
      </c>
      <c r="CG6" s="44">
        <f>SUM(C14:C53)+C257+C261+C262</f>
        <v>3414294</v>
      </c>
      <c r="CH6" s="44">
        <f t="shared" ref="CH6:ES6" si="4">SUM(D14:D53)+D257+D261+D262</f>
        <v>44882871</v>
      </c>
      <c r="CI6" s="44">
        <f t="shared" si="4"/>
        <v>991969</v>
      </c>
      <c r="CJ6" s="44">
        <f t="shared" si="4"/>
        <v>7992957</v>
      </c>
      <c r="CK6" s="44">
        <f t="shared" si="4"/>
        <v>2597313</v>
      </c>
      <c r="CL6" s="44">
        <f t="shared" si="4"/>
        <v>4956401</v>
      </c>
      <c r="CM6" s="44">
        <f t="shared" si="4"/>
        <v>7036153</v>
      </c>
      <c r="CN6" s="44">
        <f t="shared" si="4"/>
        <v>9815836</v>
      </c>
      <c r="CO6" s="44">
        <f t="shared" si="4"/>
        <v>1298915</v>
      </c>
      <c r="CP6" s="44">
        <f t="shared" si="4"/>
        <v>1365116</v>
      </c>
      <c r="CQ6" s="44">
        <f t="shared" si="4"/>
        <v>952488</v>
      </c>
      <c r="CR6" s="44">
        <f t="shared" si="4"/>
        <v>22398949</v>
      </c>
      <c r="CS6" s="44">
        <f t="shared" si="4"/>
        <v>22044187</v>
      </c>
      <c r="CT6" s="44">
        <f t="shared" si="4"/>
        <v>984985</v>
      </c>
      <c r="CU6" s="44">
        <f t="shared" si="4"/>
        <v>56874377</v>
      </c>
      <c r="CV6" s="44">
        <f t="shared" si="4"/>
        <v>6542310</v>
      </c>
      <c r="CW6" s="44">
        <f t="shared" si="4"/>
        <v>4329203</v>
      </c>
      <c r="CX6" s="44">
        <f t="shared" si="4"/>
        <v>3712380</v>
      </c>
      <c r="CY6" s="44">
        <f t="shared" si="4"/>
        <v>0</v>
      </c>
      <c r="CZ6" s="44">
        <f t="shared" si="4"/>
        <v>3125410</v>
      </c>
      <c r="DA6" s="44">
        <f t="shared" si="4"/>
        <v>18088794</v>
      </c>
      <c r="DB6" s="44">
        <f t="shared" si="4"/>
        <v>1051153</v>
      </c>
      <c r="DC6" s="44">
        <f t="shared" si="4"/>
        <v>1208897</v>
      </c>
      <c r="DD6" s="44">
        <f t="shared" si="4"/>
        <v>16718967</v>
      </c>
      <c r="DE6" s="44">
        <f t="shared" si="4"/>
        <v>2042913</v>
      </c>
      <c r="DF6" s="44">
        <f t="shared" si="4"/>
        <v>4868151</v>
      </c>
      <c r="DG6" s="44">
        <f t="shared" si="4"/>
        <v>858040</v>
      </c>
      <c r="DH6" s="44">
        <f t="shared" si="4"/>
        <v>9691023</v>
      </c>
      <c r="DI6" s="44">
        <f t="shared" si="4"/>
        <v>2632763</v>
      </c>
      <c r="DJ6" s="44">
        <f t="shared" si="4"/>
        <v>1828854</v>
      </c>
      <c r="DK6" s="44">
        <f t="shared" si="4"/>
        <v>2389050</v>
      </c>
      <c r="DL6" s="44">
        <f t="shared" si="4"/>
        <v>6650315</v>
      </c>
      <c r="DM6" s="44">
        <f t="shared" si="4"/>
        <v>75751931</v>
      </c>
      <c r="DN6" s="44">
        <f t="shared" si="4"/>
        <v>3930254</v>
      </c>
      <c r="DO6" s="44">
        <f t="shared" si="4"/>
        <v>671927</v>
      </c>
      <c r="DP6" s="44">
        <f t="shared" si="4"/>
        <v>892340</v>
      </c>
      <c r="DQ6" s="44">
        <f t="shared" si="4"/>
        <v>1925262</v>
      </c>
      <c r="DR6" s="44">
        <f t="shared" si="4"/>
        <v>32289969</v>
      </c>
      <c r="DS6" s="44">
        <f t="shared" si="4"/>
        <v>0</v>
      </c>
      <c r="DT6" s="44">
        <f t="shared" si="4"/>
        <v>10364515</v>
      </c>
      <c r="DU6" s="44">
        <f t="shared" si="4"/>
        <v>12068494</v>
      </c>
      <c r="DV6" s="44">
        <f t="shared" si="4"/>
        <v>3109838</v>
      </c>
      <c r="DW6" s="44">
        <f t="shared" si="4"/>
        <v>1827813</v>
      </c>
      <c r="DX6" s="44">
        <f t="shared" si="4"/>
        <v>729196</v>
      </c>
      <c r="DY6" s="44">
        <f t="shared" si="4"/>
        <v>25552749</v>
      </c>
      <c r="DZ6" s="44">
        <f t="shared" si="4"/>
        <v>7745663</v>
      </c>
      <c r="EA6" s="44">
        <f t="shared" si="4"/>
        <v>3943448</v>
      </c>
      <c r="EB6" s="44">
        <f t="shared" si="4"/>
        <v>2541464</v>
      </c>
      <c r="EC6" s="44">
        <f t="shared" si="4"/>
        <v>15136704</v>
      </c>
      <c r="ED6" s="44">
        <f t="shared" si="4"/>
        <v>688128</v>
      </c>
      <c r="EE6" s="44">
        <f t="shared" si="4"/>
        <v>2566261</v>
      </c>
      <c r="EF6" s="44">
        <f t="shared" si="4"/>
        <v>1879203</v>
      </c>
      <c r="EG6" s="44">
        <f t="shared" si="4"/>
        <v>5105657</v>
      </c>
      <c r="EH6" s="44">
        <f t="shared" si="4"/>
        <v>11940541</v>
      </c>
      <c r="EI6" s="44">
        <f t="shared" si="4"/>
        <v>7262328</v>
      </c>
      <c r="EJ6" s="44">
        <f t="shared" si="4"/>
        <v>11122216</v>
      </c>
      <c r="EK6" s="44">
        <f t="shared" si="4"/>
        <v>13643119</v>
      </c>
      <c r="EL6" s="44">
        <f t="shared" si="4"/>
        <v>28404945</v>
      </c>
      <c r="EM6" s="44">
        <f t="shared" si="4"/>
        <v>2642031</v>
      </c>
      <c r="EN6" s="44">
        <f t="shared" si="4"/>
        <v>3279841</v>
      </c>
      <c r="EO6" s="44">
        <f t="shared" si="4"/>
        <v>13962636</v>
      </c>
      <c r="EP6" s="44">
        <f t="shared" si="4"/>
        <v>2117049</v>
      </c>
      <c r="EQ6" s="44">
        <f t="shared" si="4"/>
        <v>5563628</v>
      </c>
      <c r="ER6" s="44">
        <f t="shared" si="4"/>
        <v>8912909</v>
      </c>
      <c r="ES6" s="44">
        <f t="shared" si="4"/>
        <v>9607744</v>
      </c>
      <c r="ET6" s="44">
        <f t="shared" ref="ET6:FE6" si="5">SUM(BP14:BP53)+BP257+BP261+BP262</f>
        <v>10848580</v>
      </c>
      <c r="EU6" s="44">
        <f t="shared" si="5"/>
        <v>8392166</v>
      </c>
      <c r="EV6" s="44">
        <f t="shared" si="5"/>
        <v>1952890</v>
      </c>
      <c r="EW6" s="44">
        <f t="shared" si="5"/>
        <v>2201320</v>
      </c>
      <c r="EX6" s="44">
        <f t="shared" si="5"/>
        <v>3970769</v>
      </c>
      <c r="EY6" s="44">
        <f t="shared" si="5"/>
        <v>8492153</v>
      </c>
      <c r="EZ6" s="44">
        <f t="shared" si="5"/>
        <v>12852236</v>
      </c>
      <c r="FA6" s="44">
        <f t="shared" si="5"/>
        <v>27330990</v>
      </c>
      <c r="FB6" s="44">
        <f t="shared" si="5"/>
        <v>21858543</v>
      </c>
      <c r="FC6" s="44">
        <f t="shared" si="5"/>
        <v>7360793</v>
      </c>
      <c r="FD6" s="44">
        <f t="shared" si="5"/>
        <v>1546208</v>
      </c>
      <c r="FE6" s="44">
        <f t="shared" si="5"/>
        <v>707331485</v>
      </c>
      <c r="FG6" s="43"/>
      <c r="FH6" s="44"/>
      <c r="FK6" s="43"/>
    </row>
    <row r="7" spans="1:167" x14ac:dyDescent="0.25">
      <c r="A7" s="41" t="s">
        <v>86</v>
      </c>
      <c r="B7" s="41" t="s">
        <v>87</v>
      </c>
      <c r="C7" s="43">
        <v>112147</v>
      </c>
      <c r="D7" s="43">
        <v>3684910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43">
        <v>230160</v>
      </c>
      <c r="N7" s="37">
        <v>0</v>
      </c>
      <c r="O7" s="43">
        <v>376605</v>
      </c>
      <c r="P7" s="37">
        <v>0</v>
      </c>
      <c r="Q7" s="43">
        <v>13747318</v>
      </c>
      <c r="R7" s="43">
        <v>-11365</v>
      </c>
      <c r="S7" s="43">
        <v>126412</v>
      </c>
      <c r="T7" s="37">
        <v>0</v>
      </c>
      <c r="U7" s="37">
        <v>0</v>
      </c>
      <c r="V7" s="37">
        <v>0</v>
      </c>
      <c r="W7" s="43">
        <v>166356</v>
      </c>
      <c r="X7" s="43">
        <v>17412</v>
      </c>
      <c r="Y7" s="37">
        <v>0</v>
      </c>
      <c r="Z7" s="37">
        <v>0</v>
      </c>
      <c r="AA7" s="37">
        <v>0</v>
      </c>
      <c r="AB7" s="43">
        <v>219796</v>
      </c>
      <c r="AC7" s="37">
        <v>0</v>
      </c>
      <c r="AD7" s="37">
        <v>0</v>
      </c>
      <c r="AE7" s="37">
        <v>0</v>
      </c>
      <c r="AF7" s="43">
        <v>49724</v>
      </c>
      <c r="AG7" s="37">
        <v>0</v>
      </c>
      <c r="AH7" s="43">
        <v>353295</v>
      </c>
      <c r="AI7" s="37">
        <v>0</v>
      </c>
      <c r="AJ7" s="37">
        <v>0</v>
      </c>
      <c r="AK7" s="37">
        <v>0</v>
      </c>
      <c r="AL7" s="37">
        <v>0</v>
      </c>
      <c r="AM7" s="44">
        <v>0</v>
      </c>
      <c r="AN7" s="43">
        <v>2256467</v>
      </c>
      <c r="AO7" s="37">
        <v>0</v>
      </c>
      <c r="AP7" s="37">
        <v>0</v>
      </c>
      <c r="AQ7" s="43">
        <v>370030</v>
      </c>
      <c r="AR7" s="37">
        <v>0</v>
      </c>
      <c r="AS7" s="43">
        <v>909405</v>
      </c>
      <c r="AT7" s="37">
        <v>0</v>
      </c>
      <c r="AU7" s="43">
        <v>3664076</v>
      </c>
      <c r="AV7" s="43">
        <v>298709</v>
      </c>
      <c r="AW7" s="43">
        <v>88282</v>
      </c>
      <c r="AX7" s="43">
        <v>97908</v>
      </c>
      <c r="AY7" s="43">
        <v>516107</v>
      </c>
      <c r="AZ7" s="37">
        <v>0</v>
      </c>
      <c r="BA7" s="37">
        <v>0</v>
      </c>
      <c r="BB7" s="43">
        <v>203633</v>
      </c>
      <c r="BC7" s="43">
        <v>992606</v>
      </c>
      <c r="BD7" s="37">
        <v>0</v>
      </c>
      <c r="BE7" s="43">
        <v>1299846</v>
      </c>
      <c r="BF7" s="43">
        <v>486536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43">
        <v>583658</v>
      </c>
      <c r="BU7" s="43">
        <v>452707</v>
      </c>
      <c r="BV7" s="43">
        <v>354130</v>
      </c>
      <c r="BW7" s="37">
        <v>0</v>
      </c>
      <c r="BX7" s="37">
        <v>0</v>
      </c>
      <c r="BY7" s="37">
        <v>0</v>
      </c>
      <c r="BZ7" s="37">
        <v>0</v>
      </c>
      <c r="CA7" s="44">
        <f t="shared" ref="CA7:CA70" si="6">SUM(C7:BZ7)</f>
        <v>31646870</v>
      </c>
      <c r="CF7" s="47" t="s">
        <v>88</v>
      </c>
      <c r="CG7" s="44">
        <f>SUM(C61:C169)+SUM(C178:C183)</f>
        <v>20137716</v>
      </c>
      <c r="CH7" s="44">
        <f t="shared" ref="CH7:ES7" si="7">SUM(D61:D169)+SUM(D178:D183)</f>
        <v>129967532</v>
      </c>
      <c r="CI7" s="44">
        <f t="shared" si="7"/>
        <v>6675958</v>
      </c>
      <c r="CJ7" s="44">
        <f t="shared" si="7"/>
        <v>61886541</v>
      </c>
      <c r="CK7" s="44">
        <f t="shared" si="7"/>
        <v>22974697</v>
      </c>
      <c r="CL7" s="44">
        <f t="shared" si="7"/>
        <v>17026967</v>
      </c>
      <c r="CM7" s="44">
        <f t="shared" si="7"/>
        <v>16505754</v>
      </c>
      <c r="CN7" s="44">
        <f t="shared" si="7"/>
        <v>74583303</v>
      </c>
      <c r="CO7" s="44">
        <f t="shared" si="7"/>
        <v>14083292</v>
      </c>
      <c r="CP7" s="44">
        <f t="shared" si="7"/>
        <v>13624629</v>
      </c>
      <c r="CQ7" s="44">
        <f t="shared" si="7"/>
        <v>11388844</v>
      </c>
      <c r="CR7" s="44">
        <f t="shared" si="7"/>
        <v>63303583</v>
      </c>
      <c r="CS7" s="44">
        <f t="shared" si="7"/>
        <v>204500313</v>
      </c>
      <c r="CT7" s="44">
        <f t="shared" si="7"/>
        <v>7942707</v>
      </c>
      <c r="CU7" s="44">
        <f t="shared" si="7"/>
        <v>162884428</v>
      </c>
      <c r="CV7" s="44">
        <f t="shared" si="7"/>
        <v>47641288</v>
      </c>
      <c r="CW7" s="44">
        <f t="shared" si="7"/>
        <v>30153664</v>
      </c>
      <c r="CX7" s="44">
        <f t="shared" si="7"/>
        <v>44535174</v>
      </c>
      <c r="CY7" s="44">
        <f t="shared" si="7"/>
        <v>0</v>
      </c>
      <c r="CZ7" s="44">
        <f t="shared" si="7"/>
        <v>30714491</v>
      </c>
      <c r="DA7" s="44">
        <f t="shared" si="7"/>
        <v>57200380</v>
      </c>
      <c r="DB7" s="44">
        <f t="shared" si="7"/>
        <v>8960308</v>
      </c>
      <c r="DC7" s="44">
        <f t="shared" si="7"/>
        <v>22404120</v>
      </c>
      <c r="DD7" s="44">
        <f t="shared" si="7"/>
        <v>149181493</v>
      </c>
      <c r="DE7" s="44">
        <f t="shared" si="7"/>
        <v>12064628</v>
      </c>
      <c r="DF7" s="44">
        <f t="shared" si="7"/>
        <v>18858077</v>
      </c>
      <c r="DG7" s="44">
        <f t="shared" si="7"/>
        <v>11582664</v>
      </c>
      <c r="DH7" s="44">
        <f t="shared" si="7"/>
        <v>90390203</v>
      </c>
      <c r="DI7" s="44">
        <f t="shared" si="7"/>
        <v>7779489</v>
      </c>
      <c r="DJ7" s="44">
        <f t="shared" si="7"/>
        <v>20950668</v>
      </c>
      <c r="DK7" s="44">
        <f t="shared" si="7"/>
        <v>8982987</v>
      </c>
      <c r="DL7" s="44">
        <f t="shared" si="7"/>
        <v>38466379</v>
      </c>
      <c r="DM7" s="44">
        <f t="shared" si="7"/>
        <v>440515556</v>
      </c>
      <c r="DN7" s="44">
        <f t="shared" si="7"/>
        <v>50993946</v>
      </c>
      <c r="DO7" s="44">
        <f t="shared" si="7"/>
        <v>6160878</v>
      </c>
      <c r="DP7" s="44">
        <f t="shared" si="7"/>
        <v>6938916</v>
      </c>
      <c r="DQ7" s="44">
        <f t="shared" si="7"/>
        <v>16209923</v>
      </c>
      <c r="DR7" s="44">
        <f t="shared" si="7"/>
        <v>220318242</v>
      </c>
      <c r="DS7" s="44">
        <f t="shared" si="7"/>
        <v>0</v>
      </c>
      <c r="DT7" s="44">
        <f t="shared" si="7"/>
        <v>66656331</v>
      </c>
      <c r="DU7" s="44">
        <f t="shared" si="7"/>
        <v>89086215</v>
      </c>
      <c r="DV7" s="44">
        <f t="shared" si="7"/>
        <v>34819462</v>
      </c>
      <c r="DW7" s="44">
        <f t="shared" si="7"/>
        <v>17791595</v>
      </c>
      <c r="DX7" s="44">
        <f t="shared" si="7"/>
        <v>10212286</v>
      </c>
      <c r="DY7" s="44">
        <f t="shared" si="7"/>
        <v>167813225</v>
      </c>
      <c r="DZ7" s="44">
        <f t="shared" si="7"/>
        <v>51815421</v>
      </c>
      <c r="EA7" s="44">
        <f t="shared" si="7"/>
        <v>12799168</v>
      </c>
      <c r="EB7" s="44">
        <f t="shared" si="7"/>
        <v>26269399</v>
      </c>
      <c r="EC7" s="44">
        <f t="shared" si="7"/>
        <v>99709526</v>
      </c>
      <c r="ED7" s="44">
        <f t="shared" si="7"/>
        <v>3390107</v>
      </c>
      <c r="EE7" s="44">
        <f t="shared" si="7"/>
        <v>26693712</v>
      </c>
      <c r="EF7" s="44">
        <f t="shared" si="7"/>
        <v>22680422</v>
      </c>
      <c r="EG7" s="44">
        <f t="shared" si="7"/>
        <v>33803485</v>
      </c>
      <c r="EH7" s="44">
        <f t="shared" si="7"/>
        <v>49167041</v>
      </c>
      <c r="EI7" s="44">
        <f t="shared" si="7"/>
        <v>71784627</v>
      </c>
      <c r="EJ7" s="44">
        <f t="shared" si="7"/>
        <v>88570602</v>
      </c>
      <c r="EK7" s="44">
        <f t="shared" si="7"/>
        <v>123400391</v>
      </c>
      <c r="EL7" s="44">
        <f t="shared" si="7"/>
        <v>172592743</v>
      </c>
      <c r="EM7" s="44">
        <f t="shared" si="7"/>
        <v>19071290</v>
      </c>
      <c r="EN7" s="44">
        <f t="shared" si="7"/>
        <v>30531942</v>
      </c>
      <c r="EO7" s="44">
        <f t="shared" si="7"/>
        <v>68770158</v>
      </c>
      <c r="EP7" s="44">
        <f t="shared" si="7"/>
        <v>17241584</v>
      </c>
      <c r="EQ7" s="44">
        <f t="shared" si="7"/>
        <v>16631642</v>
      </c>
      <c r="ER7" s="44">
        <f t="shared" si="7"/>
        <v>53347725</v>
      </c>
      <c r="ES7" s="44">
        <f t="shared" si="7"/>
        <v>68785384</v>
      </c>
      <c r="ET7" s="44">
        <f t="shared" ref="ET7:FE7" si="8">SUM(BP61:BP169)+SUM(BP178:BP183)</f>
        <v>42938813</v>
      </c>
      <c r="EU7" s="44">
        <f t="shared" si="8"/>
        <v>95468840</v>
      </c>
      <c r="EV7" s="44">
        <f t="shared" si="8"/>
        <v>24117286</v>
      </c>
      <c r="EW7" s="44">
        <f t="shared" si="8"/>
        <v>25517186</v>
      </c>
      <c r="EX7" s="44">
        <f t="shared" si="8"/>
        <v>32398390</v>
      </c>
      <c r="EY7" s="44">
        <f t="shared" si="8"/>
        <v>43362472</v>
      </c>
      <c r="EZ7" s="44">
        <f t="shared" si="8"/>
        <v>96791842</v>
      </c>
      <c r="FA7" s="44">
        <f t="shared" si="8"/>
        <v>96266911</v>
      </c>
      <c r="FB7" s="44">
        <f t="shared" si="8"/>
        <v>185978758</v>
      </c>
      <c r="FC7" s="44">
        <f t="shared" si="8"/>
        <v>214219832</v>
      </c>
      <c r="FD7" s="44">
        <f t="shared" si="8"/>
        <v>20065440</v>
      </c>
      <c r="FE7" s="44">
        <f t="shared" si="8"/>
        <v>4489050991</v>
      </c>
      <c r="FG7" s="43"/>
      <c r="FH7" s="44"/>
      <c r="FK7" s="43"/>
    </row>
    <row r="8" spans="1:167" x14ac:dyDescent="0.25">
      <c r="A8" s="41" t="s">
        <v>89</v>
      </c>
      <c r="B8" s="41" t="s">
        <v>90</v>
      </c>
      <c r="C8" s="43">
        <v>30197</v>
      </c>
      <c r="D8" s="43">
        <v>28740571</v>
      </c>
      <c r="E8" s="37">
        <v>0</v>
      </c>
      <c r="F8" s="43">
        <v>12404869</v>
      </c>
      <c r="G8" s="43">
        <v>4000845</v>
      </c>
      <c r="H8" s="37">
        <v>0</v>
      </c>
      <c r="I8" s="37">
        <v>0</v>
      </c>
      <c r="J8" s="43">
        <v>14423345</v>
      </c>
      <c r="K8" s="37">
        <v>0</v>
      </c>
      <c r="L8" s="37">
        <v>0</v>
      </c>
      <c r="M8" s="37">
        <v>0</v>
      </c>
      <c r="N8" s="37">
        <v>0</v>
      </c>
      <c r="O8" s="43">
        <v>12384035</v>
      </c>
      <c r="P8" s="37">
        <v>0</v>
      </c>
      <c r="Q8" s="43">
        <v>157957851</v>
      </c>
      <c r="R8" s="43">
        <v>8355496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43">
        <v>518570</v>
      </c>
      <c r="Y8" s="37">
        <v>0</v>
      </c>
      <c r="Z8" s="37">
        <v>0</v>
      </c>
      <c r="AA8" s="37">
        <v>706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44">
        <v>0</v>
      </c>
      <c r="AN8" s="43">
        <v>100610735</v>
      </c>
      <c r="AO8" s="37">
        <v>0</v>
      </c>
      <c r="AP8" s="43">
        <v>10090570</v>
      </c>
      <c r="AQ8" s="37">
        <v>0</v>
      </c>
      <c r="AR8" s="37">
        <v>0</v>
      </c>
      <c r="AS8" s="37">
        <v>0</v>
      </c>
      <c r="AT8" s="37">
        <v>0</v>
      </c>
      <c r="AU8" s="43">
        <v>32466249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43">
        <v>2038484</v>
      </c>
      <c r="BC8" s="37">
        <v>0</v>
      </c>
      <c r="BD8" s="37">
        <v>0</v>
      </c>
      <c r="BE8" s="37">
        <v>0</v>
      </c>
      <c r="BF8" s="43">
        <v>23975</v>
      </c>
      <c r="BG8" s="37">
        <v>0</v>
      </c>
      <c r="BH8" s="37">
        <v>0</v>
      </c>
      <c r="BI8" s="37">
        <v>0</v>
      </c>
      <c r="BJ8" s="37">
        <v>0</v>
      </c>
      <c r="BK8" s="37">
        <v>0</v>
      </c>
      <c r="BL8" s="37">
        <v>0</v>
      </c>
      <c r="BM8" s="37">
        <v>0</v>
      </c>
      <c r="BN8" s="43">
        <v>2930451</v>
      </c>
      <c r="BO8" s="37">
        <v>0</v>
      </c>
      <c r="BP8" s="37">
        <v>0</v>
      </c>
      <c r="BQ8" s="37">
        <v>0</v>
      </c>
      <c r="BR8" s="37">
        <v>0</v>
      </c>
      <c r="BS8" s="37">
        <v>0</v>
      </c>
      <c r="BT8" s="37">
        <v>0</v>
      </c>
      <c r="BU8" s="37">
        <v>0</v>
      </c>
      <c r="BV8" s="37">
        <v>0</v>
      </c>
      <c r="BW8" s="37">
        <v>0</v>
      </c>
      <c r="BX8" s="37">
        <v>0</v>
      </c>
      <c r="BY8" s="37">
        <v>0</v>
      </c>
      <c r="BZ8" s="37">
        <v>0</v>
      </c>
      <c r="CA8" s="44">
        <f t="shared" si="6"/>
        <v>386976949</v>
      </c>
      <c r="CF8" s="48" t="s">
        <v>1402</v>
      </c>
      <c r="CG8" s="43">
        <f>C171+C172+C173+C174+C175+C176</f>
        <v>5250196</v>
      </c>
      <c r="CH8" s="43">
        <f t="shared" ref="CH8:ES8" si="9">D171+D172+D173+D174+D175+D176</f>
        <v>35491879</v>
      </c>
      <c r="CI8" s="43">
        <f t="shared" si="9"/>
        <v>4272422</v>
      </c>
      <c r="CJ8" s="43">
        <f t="shared" si="9"/>
        <v>11920849</v>
      </c>
      <c r="CK8" s="43">
        <f t="shared" si="9"/>
        <v>5116386</v>
      </c>
      <c r="CL8" s="43">
        <f t="shared" si="9"/>
        <v>3447721</v>
      </c>
      <c r="CM8" s="43">
        <f t="shared" si="9"/>
        <v>7000691</v>
      </c>
      <c r="CN8" s="43">
        <f t="shared" si="9"/>
        <v>21280434</v>
      </c>
      <c r="CO8" s="43">
        <f t="shared" si="9"/>
        <v>4374748</v>
      </c>
      <c r="CP8" s="43">
        <f t="shared" si="9"/>
        <v>2894037</v>
      </c>
      <c r="CQ8" s="43">
        <f t="shared" si="9"/>
        <v>1930862</v>
      </c>
      <c r="CR8" s="43">
        <f t="shared" si="9"/>
        <v>60547900</v>
      </c>
      <c r="CS8" s="43">
        <f t="shared" si="9"/>
        <v>54230473</v>
      </c>
      <c r="CT8" s="43">
        <f t="shared" si="9"/>
        <v>4781314</v>
      </c>
      <c r="CU8" s="43">
        <f t="shared" si="9"/>
        <v>110229286</v>
      </c>
      <c r="CV8" s="43">
        <f t="shared" si="9"/>
        <v>12681444</v>
      </c>
      <c r="CW8" s="43">
        <f t="shared" si="9"/>
        <v>10674361</v>
      </c>
      <c r="CX8" s="43">
        <f t="shared" si="9"/>
        <v>11910832</v>
      </c>
      <c r="CY8" s="43">
        <f t="shared" si="9"/>
        <v>0</v>
      </c>
      <c r="CZ8" s="43">
        <f t="shared" si="9"/>
        <v>7668566</v>
      </c>
      <c r="DA8" s="43">
        <f t="shared" si="9"/>
        <v>16301930</v>
      </c>
      <c r="DB8" s="43">
        <f t="shared" si="9"/>
        <v>1216821</v>
      </c>
      <c r="DC8" s="43">
        <f t="shared" si="9"/>
        <v>4382066</v>
      </c>
      <c r="DD8" s="43">
        <f t="shared" si="9"/>
        <v>41795476</v>
      </c>
      <c r="DE8" s="43">
        <f t="shared" si="9"/>
        <v>6569205</v>
      </c>
      <c r="DF8" s="43">
        <f t="shared" si="9"/>
        <v>7176619</v>
      </c>
      <c r="DG8" s="43">
        <f t="shared" si="9"/>
        <v>6167974</v>
      </c>
      <c r="DH8" s="43">
        <f t="shared" si="9"/>
        <v>30085719</v>
      </c>
      <c r="DI8" s="43">
        <f t="shared" si="9"/>
        <v>1488442</v>
      </c>
      <c r="DJ8" s="43">
        <f t="shared" si="9"/>
        <v>5716819</v>
      </c>
      <c r="DK8" s="43">
        <f t="shared" si="9"/>
        <v>1642136</v>
      </c>
      <c r="DL8" s="43">
        <f t="shared" si="9"/>
        <v>21018247</v>
      </c>
      <c r="DM8" s="43">
        <f t="shared" si="9"/>
        <v>123025212</v>
      </c>
      <c r="DN8" s="43">
        <f t="shared" si="9"/>
        <v>16636245</v>
      </c>
      <c r="DO8" s="43">
        <f t="shared" si="9"/>
        <v>1456651</v>
      </c>
      <c r="DP8" s="43">
        <f t="shared" si="9"/>
        <v>3989275</v>
      </c>
      <c r="DQ8" s="43">
        <f t="shared" si="9"/>
        <v>4953002</v>
      </c>
      <c r="DR8" s="43">
        <f t="shared" si="9"/>
        <v>64085291</v>
      </c>
      <c r="DS8" s="43">
        <f t="shared" si="9"/>
        <v>0</v>
      </c>
      <c r="DT8" s="43">
        <f t="shared" si="9"/>
        <v>19453762</v>
      </c>
      <c r="DU8" s="43">
        <f t="shared" si="9"/>
        <v>20591854</v>
      </c>
      <c r="DV8" s="43">
        <f t="shared" si="9"/>
        <v>7648942</v>
      </c>
      <c r="DW8" s="43">
        <f t="shared" si="9"/>
        <v>4193200</v>
      </c>
      <c r="DX8" s="43">
        <f t="shared" si="9"/>
        <v>3908105</v>
      </c>
      <c r="DY8" s="43">
        <f t="shared" si="9"/>
        <v>60095137</v>
      </c>
      <c r="DZ8" s="43">
        <f t="shared" si="9"/>
        <v>16536008</v>
      </c>
      <c r="EA8" s="43">
        <f t="shared" si="9"/>
        <v>5119238</v>
      </c>
      <c r="EB8" s="43">
        <f t="shared" si="9"/>
        <v>5112953</v>
      </c>
      <c r="EC8" s="43">
        <f t="shared" si="9"/>
        <v>49481136</v>
      </c>
      <c r="ED8" s="43">
        <f t="shared" si="9"/>
        <v>3293576</v>
      </c>
      <c r="EE8" s="43">
        <f t="shared" si="9"/>
        <v>6881747</v>
      </c>
      <c r="EF8" s="43">
        <f t="shared" si="9"/>
        <v>7127922</v>
      </c>
      <c r="EG8" s="43">
        <f t="shared" si="9"/>
        <v>13172679</v>
      </c>
      <c r="EH8" s="43">
        <f t="shared" si="9"/>
        <v>21145432</v>
      </c>
      <c r="EI8" s="43">
        <f t="shared" si="9"/>
        <v>22713047</v>
      </c>
      <c r="EJ8" s="43">
        <f t="shared" si="9"/>
        <v>27322787</v>
      </c>
      <c r="EK8" s="43">
        <f t="shared" si="9"/>
        <v>20072932</v>
      </c>
      <c r="EL8" s="43">
        <f t="shared" si="9"/>
        <v>54393719</v>
      </c>
      <c r="EM8" s="43">
        <f t="shared" si="9"/>
        <v>3742190</v>
      </c>
      <c r="EN8" s="43">
        <f t="shared" si="9"/>
        <v>12621068</v>
      </c>
      <c r="EO8" s="43">
        <f t="shared" si="9"/>
        <v>19839626</v>
      </c>
      <c r="EP8" s="43">
        <f t="shared" si="9"/>
        <v>6562557</v>
      </c>
      <c r="EQ8" s="43">
        <f t="shared" si="9"/>
        <v>4768265</v>
      </c>
      <c r="ER8" s="43">
        <f t="shared" si="9"/>
        <v>18954591</v>
      </c>
      <c r="ES8" s="43">
        <f t="shared" si="9"/>
        <v>21446005</v>
      </c>
      <c r="ET8" s="43">
        <f t="shared" ref="ET8:FE8" si="10">BP171+BP172+BP173+BP174+BP175+BP176</f>
        <v>19587730</v>
      </c>
      <c r="EU8" s="43">
        <f t="shared" si="10"/>
        <v>25841412</v>
      </c>
      <c r="EV8" s="43">
        <f t="shared" si="10"/>
        <v>6220703</v>
      </c>
      <c r="EW8" s="43">
        <f t="shared" si="10"/>
        <v>6667897</v>
      </c>
      <c r="EX8" s="43">
        <f t="shared" si="10"/>
        <v>9244764</v>
      </c>
      <c r="EY8" s="43">
        <f t="shared" si="10"/>
        <v>13876428</v>
      </c>
      <c r="EZ8" s="43">
        <f t="shared" si="10"/>
        <v>31358927</v>
      </c>
      <c r="FA8" s="43">
        <f t="shared" si="10"/>
        <v>23950140</v>
      </c>
      <c r="FB8" s="43">
        <f t="shared" si="10"/>
        <v>0</v>
      </c>
      <c r="FC8" s="43">
        <f t="shared" si="10"/>
        <v>0</v>
      </c>
      <c r="FD8" s="43">
        <f t="shared" si="10"/>
        <v>0</v>
      </c>
      <c r="FE8" s="43">
        <f t="shared" si="10"/>
        <v>1326358010</v>
      </c>
      <c r="FG8" s="43"/>
      <c r="FH8" s="44"/>
      <c r="FK8" s="43"/>
    </row>
    <row r="9" spans="1:167" x14ac:dyDescent="0.25">
      <c r="A9" s="41" t="s">
        <v>91</v>
      </c>
      <c r="B9" s="41" t="s">
        <v>92</v>
      </c>
      <c r="AM9" s="44"/>
      <c r="CA9" s="44">
        <f t="shared" si="6"/>
        <v>0</v>
      </c>
      <c r="CF9" s="49" t="s">
        <v>93</v>
      </c>
      <c r="CG9" s="44">
        <f>SUM(C185:C238)</f>
        <v>6356204</v>
      </c>
      <c r="CH9" s="44">
        <f t="shared" ref="CH9:ES9" si="11">SUM(D185:D238)</f>
        <v>50429729</v>
      </c>
      <c r="CI9" s="44">
        <f t="shared" si="11"/>
        <v>6660891</v>
      </c>
      <c r="CJ9" s="44">
        <f t="shared" si="11"/>
        <v>15503242</v>
      </c>
      <c r="CK9" s="44">
        <f t="shared" si="11"/>
        <v>7617713</v>
      </c>
      <c r="CL9" s="44">
        <f t="shared" si="11"/>
        <v>9528474</v>
      </c>
      <c r="CM9" s="44">
        <f t="shared" si="11"/>
        <v>5214049</v>
      </c>
      <c r="CN9" s="44">
        <f t="shared" si="11"/>
        <v>35168478</v>
      </c>
      <c r="CO9" s="44">
        <f t="shared" si="11"/>
        <v>8108553</v>
      </c>
      <c r="CP9" s="44">
        <f t="shared" si="11"/>
        <v>8686698</v>
      </c>
      <c r="CQ9" s="44">
        <f t="shared" si="11"/>
        <v>7898373</v>
      </c>
      <c r="CR9" s="44">
        <f t="shared" si="11"/>
        <v>59356670</v>
      </c>
      <c r="CS9" s="44">
        <f t="shared" si="11"/>
        <v>86100281</v>
      </c>
      <c r="CT9" s="44">
        <f t="shared" si="11"/>
        <v>4849390</v>
      </c>
      <c r="CU9" s="44">
        <f t="shared" si="11"/>
        <v>176333191</v>
      </c>
      <c r="CV9" s="44">
        <f t="shared" si="11"/>
        <v>24910681</v>
      </c>
      <c r="CW9" s="44">
        <f t="shared" si="11"/>
        <v>14934190</v>
      </c>
      <c r="CX9" s="44">
        <f t="shared" si="11"/>
        <v>19392058</v>
      </c>
      <c r="CY9" s="44">
        <f t="shared" si="11"/>
        <v>0</v>
      </c>
      <c r="CZ9" s="44">
        <f t="shared" si="11"/>
        <v>20565388</v>
      </c>
      <c r="DA9" s="44">
        <f t="shared" si="11"/>
        <v>36867503</v>
      </c>
      <c r="DB9" s="44">
        <f t="shared" si="11"/>
        <v>10359404</v>
      </c>
      <c r="DC9" s="44">
        <f t="shared" si="11"/>
        <v>30283621</v>
      </c>
      <c r="DD9" s="44">
        <f t="shared" si="11"/>
        <v>41610825</v>
      </c>
      <c r="DE9" s="44">
        <f t="shared" si="11"/>
        <v>5772933</v>
      </c>
      <c r="DF9" s="44">
        <f t="shared" si="11"/>
        <v>6934881</v>
      </c>
      <c r="DG9" s="44">
        <f t="shared" si="11"/>
        <v>8817974</v>
      </c>
      <c r="DH9" s="44">
        <f t="shared" si="11"/>
        <v>44871010</v>
      </c>
      <c r="DI9" s="44">
        <f t="shared" si="11"/>
        <v>4944063</v>
      </c>
      <c r="DJ9" s="44">
        <f t="shared" si="11"/>
        <v>14826197</v>
      </c>
      <c r="DK9" s="44">
        <f t="shared" si="11"/>
        <v>3162457</v>
      </c>
      <c r="DL9" s="44">
        <f t="shared" si="11"/>
        <v>22803936</v>
      </c>
      <c r="DM9" s="44">
        <f t="shared" si="11"/>
        <v>160957353</v>
      </c>
      <c r="DN9" s="44">
        <f t="shared" si="11"/>
        <v>29161158</v>
      </c>
      <c r="DO9" s="44">
        <f t="shared" si="11"/>
        <v>5566945</v>
      </c>
      <c r="DP9" s="44">
        <f t="shared" si="11"/>
        <v>4194735</v>
      </c>
      <c r="DQ9" s="44">
        <f t="shared" si="11"/>
        <v>11190296</v>
      </c>
      <c r="DR9" s="44">
        <f t="shared" si="11"/>
        <v>126389042</v>
      </c>
      <c r="DS9" s="44">
        <f t="shared" si="11"/>
        <v>0</v>
      </c>
      <c r="DT9" s="44">
        <f t="shared" si="11"/>
        <v>20254331</v>
      </c>
      <c r="DU9" s="44">
        <f t="shared" si="11"/>
        <v>27590257</v>
      </c>
      <c r="DV9" s="44">
        <f t="shared" si="11"/>
        <v>17822192</v>
      </c>
      <c r="DW9" s="44">
        <f t="shared" si="11"/>
        <v>11526967</v>
      </c>
      <c r="DX9" s="44">
        <f t="shared" si="11"/>
        <v>7675252</v>
      </c>
      <c r="DY9" s="44">
        <f t="shared" si="11"/>
        <v>32695663</v>
      </c>
      <c r="DZ9" s="44">
        <f t="shared" si="11"/>
        <v>18316940</v>
      </c>
      <c r="EA9" s="44">
        <f t="shared" si="11"/>
        <v>8206062</v>
      </c>
      <c r="EB9" s="44">
        <f t="shared" si="11"/>
        <v>12864210</v>
      </c>
      <c r="EC9" s="44">
        <f t="shared" si="11"/>
        <v>25529945</v>
      </c>
      <c r="ED9" s="44">
        <f t="shared" si="11"/>
        <v>3627325</v>
      </c>
      <c r="EE9" s="44">
        <f t="shared" si="11"/>
        <v>17172157</v>
      </c>
      <c r="EF9" s="44">
        <f t="shared" si="11"/>
        <v>18613735</v>
      </c>
      <c r="EG9" s="44">
        <f t="shared" si="11"/>
        <v>19344606</v>
      </c>
      <c r="EH9" s="44">
        <f t="shared" si="11"/>
        <v>18800849</v>
      </c>
      <c r="EI9" s="44">
        <f t="shared" si="11"/>
        <v>49833380</v>
      </c>
      <c r="EJ9" s="44">
        <f t="shared" si="11"/>
        <v>37299357</v>
      </c>
      <c r="EK9" s="44">
        <f t="shared" si="11"/>
        <v>88746015</v>
      </c>
      <c r="EL9" s="44">
        <f t="shared" si="11"/>
        <v>48897282</v>
      </c>
      <c r="EM9" s="44">
        <f t="shared" si="11"/>
        <v>8030190</v>
      </c>
      <c r="EN9" s="44">
        <f t="shared" si="11"/>
        <v>16123789</v>
      </c>
      <c r="EO9" s="44">
        <f t="shared" si="11"/>
        <v>20470236</v>
      </c>
      <c r="EP9" s="44">
        <f t="shared" si="11"/>
        <v>9292647</v>
      </c>
      <c r="EQ9" s="44">
        <f t="shared" si="11"/>
        <v>5747560</v>
      </c>
      <c r="ER9" s="44">
        <f t="shared" si="11"/>
        <v>13465352</v>
      </c>
      <c r="ES9" s="44">
        <f t="shared" si="11"/>
        <v>31486356</v>
      </c>
      <c r="ET9" s="44">
        <f t="shared" ref="ET9:FE9" si="12">SUM(BP185:BP238)</f>
        <v>24269217</v>
      </c>
      <c r="EU9" s="44">
        <f t="shared" si="12"/>
        <v>43562401</v>
      </c>
      <c r="EV9" s="44">
        <f t="shared" si="12"/>
        <v>12833432</v>
      </c>
      <c r="EW9" s="44">
        <f t="shared" si="12"/>
        <v>25354267</v>
      </c>
      <c r="EX9" s="44">
        <f t="shared" si="12"/>
        <v>10507459</v>
      </c>
      <c r="EY9" s="44">
        <f t="shared" si="12"/>
        <v>10809715</v>
      </c>
      <c r="EZ9" s="44">
        <f t="shared" si="12"/>
        <v>33351653</v>
      </c>
      <c r="FA9" s="44">
        <f t="shared" si="12"/>
        <v>11935534</v>
      </c>
      <c r="FB9" s="44">
        <f t="shared" si="12"/>
        <v>29975424</v>
      </c>
      <c r="FC9" s="44">
        <f t="shared" si="12"/>
        <v>26027404</v>
      </c>
      <c r="FD9" s="44">
        <f t="shared" si="12"/>
        <v>1866289</v>
      </c>
      <c r="FE9" s="44">
        <f t="shared" si="12"/>
        <v>1956254036</v>
      </c>
      <c r="FG9" s="43"/>
      <c r="FH9" s="44"/>
      <c r="FK9" s="43"/>
    </row>
    <row r="10" spans="1:167" x14ac:dyDescent="0.25">
      <c r="A10" s="41" t="s">
        <v>94</v>
      </c>
      <c r="B10" s="41" t="s">
        <v>95</v>
      </c>
      <c r="C10" s="37">
        <v>0</v>
      </c>
      <c r="D10" s="37">
        <v>0</v>
      </c>
      <c r="E10" s="37">
        <v>0</v>
      </c>
      <c r="F10" s="43">
        <v>30140021</v>
      </c>
      <c r="G10" s="43">
        <v>8959515</v>
      </c>
      <c r="H10" s="43">
        <v>8667291</v>
      </c>
      <c r="I10" s="43">
        <v>19023456</v>
      </c>
      <c r="J10" s="43">
        <v>48941109</v>
      </c>
      <c r="K10" s="37">
        <v>0</v>
      </c>
      <c r="L10" s="37">
        <v>0</v>
      </c>
      <c r="M10" s="37">
        <v>0</v>
      </c>
      <c r="N10" s="43">
        <v>269128375</v>
      </c>
      <c r="O10" s="37">
        <v>0</v>
      </c>
      <c r="P10" s="43">
        <v>6922839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43">
        <v>18699189</v>
      </c>
      <c r="W10" s="37">
        <v>0</v>
      </c>
      <c r="X10" s="37">
        <v>0</v>
      </c>
      <c r="Y10" s="43">
        <v>5564562</v>
      </c>
      <c r="Z10" s="37">
        <v>0</v>
      </c>
      <c r="AA10" s="37">
        <v>0</v>
      </c>
      <c r="AB10" s="37">
        <v>0</v>
      </c>
      <c r="AC10" s="43">
        <v>30768834</v>
      </c>
      <c r="AD10" s="43">
        <v>75207577</v>
      </c>
      <c r="AE10" s="43">
        <v>2981735</v>
      </c>
      <c r="AF10" s="37">
        <v>0</v>
      </c>
      <c r="AG10" s="43">
        <v>2632275</v>
      </c>
      <c r="AH10" s="37">
        <v>0</v>
      </c>
      <c r="AI10" s="37">
        <v>0</v>
      </c>
      <c r="AJ10" s="43">
        <v>31891211</v>
      </c>
      <c r="AK10" s="43">
        <v>3422588</v>
      </c>
      <c r="AL10" s="43">
        <v>3883840</v>
      </c>
      <c r="AM10" s="44">
        <v>11746514</v>
      </c>
      <c r="AN10" s="37">
        <v>0</v>
      </c>
      <c r="AO10" s="37">
        <v>0</v>
      </c>
      <c r="AP10" s="43">
        <v>43793905</v>
      </c>
      <c r="AQ10" s="37">
        <v>0</v>
      </c>
      <c r="AR10" s="37">
        <v>0</v>
      </c>
      <c r="AS10" s="43">
        <v>-514514</v>
      </c>
      <c r="AT10" s="43">
        <v>5421356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43">
        <v>5684710</v>
      </c>
      <c r="BA10" s="43">
        <v>749528</v>
      </c>
      <c r="BB10" s="37">
        <v>0</v>
      </c>
      <c r="BC10" s="37">
        <v>0</v>
      </c>
      <c r="BD10" s="43">
        <v>70024392</v>
      </c>
      <c r="BE10" s="37">
        <v>0</v>
      </c>
      <c r="BF10" s="37">
        <v>0</v>
      </c>
      <c r="BG10" s="43">
        <v>264812637</v>
      </c>
      <c r="BH10" s="43">
        <v>179897477</v>
      </c>
      <c r="BI10" s="43">
        <v>7407038</v>
      </c>
      <c r="BJ10" s="37">
        <v>0</v>
      </c>
      <c r="BK10" s="37">
        <v>0</v>
      </c>
      <c r="BL10" s="43">
        <v>3869793</v>
      </c>
      <c r="BM10" s="37">
        <v>0</v>
      </c>
      <c r="BN10" s="37">
        <v>0</v>
      </c>
      <c r="BO10" s="37">
        <v>0</v>
      </c>
      <c r="BP10" s="37">
        <v>0</v>
      </c>
      <c r="BQ10" s="43">
        <v>50206795</v>
      </c>
      <c r="BR10" s="37">
        <v>0</v>
      </c>
      <c r="BS10" s="37">
        <v>0</v>
      </c>
      <c r="BT10" s="43">
        <v>14349420</v>
      </c>
      <c r="BU10" s="43">
        <v>5414054</v>
      </c>
      <c r="BV10" s="43">
        <v>8894598</v>
      </c>
      <c r="BW10" s="43">
        <v>10221847</v>
      </c>
      <c r="BX10" s="37">
        <v>0</v>
      </c>
      <c r="BY10" s="37">
        <v>0</v>
      </c>
      <c r="BZ10" s="37">
        <v>0</v>
      </c>
      <c r="CA10" s="44">
        <f t="shared" si="6"/>
        <v>1248813967</v>
      </c>
    </row>
    <row r="11" spans="1:167" x14ac:dyDescent="0.25">
      <c r="A11" s="41" t="s">
        <v>96</v>
      </c>
      <c r="B11" s="41" t="s">
        <v>97</v>
      </c>
      <c r="C11" s="43">
        <v>486558</v>
      </c>
      <c r="D11" s="37">
        <v>0</v>
      </c>
      <c r="E11" s="37">
        <v>0</v>
      </c>
      <c r="F11" s="43">
        <v>461933</v>
      </c>
      <c r="G11" s="43">
        <v>847053</v>
      </c>
      <c r="H11" s="37">
        <v>0</v>
      </c>
      <c r="I11" s="37">
        <v>0</v>
      </c>
      <c r="J11" s="43">
        <v>947541</v>
      </c>
      <c r="K11" s="37">
        <v>0</v>
      </c>
      <c r="L11" s="37">
        <v>0</v>
      </c>
      <c r="M11" s="37">
        <v>0</v>
      </c>
      <c r="N11" s="43">
        <v>1188712</v>
      </c>
      <c r="O11" s="37">
        <v>0</v>
      </c>
      <c r="P11" s="43">
        <v>363993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43">
        <v>60246</v>
      </c>
      <c r="Z11" s="37">
        <v>0</v>
      </c>
      <c r="AA11" s="37">
        <v>0</v>
      </c>
      <c r="AB11" s="37">
        <v>0</v>
      </c>
      <c r="AC11" s="43">
        <v>140051</v>
      </c>
      <c r="AD11" s="43">
        <v>109711</v>
      </c>
      <c r="AE11" s="43">
        <v>6752</v>
      </c>
      <c r="AF11" s="37">
        <v>0</v>
      </c>
      <c r="AG11" s="43">
        <v>6328</v>
      </c>
      <c r="AH11" s="37">
        <v>0</v>
      </c>
      <c r="AI11" s="37">
        <v>0</v>
      </c>
      <c r="AJ11" s="43">
        <v>192017</v>
      </c>
      <c r="AK11" s="43">
        <v>11423</v>
      </c>
      <c r="AL11" s="43">
        <v>10481</v>
      </c>
      <c r="AM11" s="44">
        <v>0</v>
      </c>
      <c r="AN11" s="37">
        <v>0</v>
      </c>
      <c r="AO11" s="37">
        <v>0</v>
      </c>
      <c r="AP11" s="43">
        <v>166908</v>
      </c>
      <c r="AQ11" s="37">
        <v>0</v>
      </c>
      <c r="AR11" s="37">
        <v>0</v>
      </c>
      <c r="AS11" s="37">
        <v>0</v>
      </c>
      <c r="AT11" s="43">
        <v>-6169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43">
        <v>1161398</v>
      </c>
      <c r="BH11" s="43">
        <v>965089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43">
        <v>481005</v>
      </c>
      <c r="BU11" s="43">
        <v>76020</v>
      </c>
      <c r="BV11" s="43">
        <v>25168</v>
      </c>
      <c r="BW11" s="37">
        <v>0</v>
      </c>
      <c r="BX11" s="37">
        <v>0</v>
      </c>
      <c r="BY11" s="37">
        <v>0</v>
      </c>
      <c r="BZ11" s="37">
        <v>0</v>
      </c>
      <c r="CA11" s="44">
        <f t="shared" si="6"/>
        <v>7702218</v>
      </c>
    </row>
    <row r="12" spans="1:167" x14ac:dyDescent="0.25">
      <c r="A12" s="41" t="s">
        <v>98</v>
      </c>
      <c r="B12" s="41" t="s">
        <v>99</v>
      </c>
      <c r="C12" s="37">
        <v>0</v>
      </c>
      <c r="D12" s="43">
        <v>8894240</v>
      </c>
      <c r="E12" s="43">
        <v>272819</v>
      </c>
      <c r="F12" s="43">
        <v>2858681</v>
      </c>
      <c r="G12" s="43">
        <v>172699</v>
      </c>
      <c r="H12" s="43">
        <v>1587034</v>
      </c>
      <c r="I12" s="43">
        <v>1222124</v>
      </c>
      <c r="J12" s="43">
        <v>3228890</v>
      </c>
      <c r="K12" s="37">
        <v>0</v>
      </c>
      <c r="L12" s="43">
        <v>421516</v>
      </c>
      <c r="M12" s="43">
        <v>535286</v>
      </c>
      <c r="N12" s="43">
        <v>24413</v>
      </c>
      <c r="O12" s="43">
        <v>39128179</v>
      </c>
      <c r="P12" s="43">
        <v>3105342</v>
      </c>
      <c r="Q12" s="43">
        <v>16332569</v>
      </c>
      <c r="R12" s="43">
        <v>5310308</v>
      </c>
      <c r="S12" s="43">
        <v>1939037</v>
      </c>
      <c r="T12" s="43">
        <v>1722841</v>
      </c>
      <c r="U12" s="37">
        <v>0</v>
      </c>
      <c r="V12" s="43">
        <v>362764</v>
      </c>
      <c r="W12" s="43">
        <v>2795943</v>
      </c>
      <c r="X12" s="37">
        <v>0</v>
      </c>
      <c r="Y12" s="37">
        <v>0</v>
      </c>
      <c r="Z12" s="43">
        <v>4713660</v>
      </c>
      <c r="AA12" s="43">
        <v>3548563</v>
      </c>
      <c r="AB12" s="37">
        <v>0</v>
      </c>
      <c r="AC12" s="43">
        <v>90261</v>
      </c>
      <c r="AD12" s="43">
        <v>9730443</v>
      </c>
      <c r="AE12" s="43">
        <v>101353</v>
      </c>
      <c r="AF12" s="43">
        <v>616310</v>
      </c>
      <c r="AG12" s="43">
        <v>28628</v>
      </c>
      <c r="AH12" s="43">
        <v>2384695</v>
      </c>
      <c r="AI12" s="43">
        <v>31532716</v>
      </c>
      <c r="AJ12" s="43">
        <v>3025353</v>
      </c>
      <c r="AK12" s="37">
        <v>0</v>
      </c>
      <c r="AL12" s="43">
        <v>2856651</v>
      </c>
      <c r="AM12" s="44">
        <v>0</v>
      </c>
      <c r="AN12" s="43">
        <v>13387746</v>
      </c>
      <c r="AO12" s="37">
        <v>0</v>
      </c>
      <c r="AP12" s="43">
        <v>4013897</v>
      </c>
      <c r="AQ12" s="43">
        <v>7120869</v>
      </c>
      <c r="AR12" s="43">
        <v>1117778</v>
      </c>
      <c r="AS12" s="43">
        <v>872753</v>
      </c>
      <c r="AT12" s="43">
        <v>754709</v>
      </c>
      <c r="AU12" s="43">
        <v>7463134</v>
      </c>
      <c r="AV12" s="43">
        <v>6883640</v>
      </c>
      <c r="AW12" s="43">
        <v>76842</v>
      </c>
      <c r="AX12" s="43">
        <v>686723</v>
      </c>
      <c r="AY12" s="43">
        <v>1887652</v>
      </c>
      <c r="AZ12" s="43">
        <v>71259</v>
      </c>
      <c r="BA12" s="43">
        <v>238843</v>
      </c>
      <c r="BB12" s="43">
        <v>2597651</v>
      </c>
      <c r="BC12" s="43">
        <v>2799055</v>
      </c>
      <c r="BD12" s="43">
        <v>4870354</v>
      </c>
      <c r="BE12" s="43">
        <v>5162200</v>
      </c>
      <c r="BF12" s="43">
        <v>132350</v>
      </c>
      <c r="BG12" s="43">
        <v>13998503</v>
      </c>
      <c r="BH12" s="43">
        <v>6872865</v>
      </c>
      <c r="BI12" s="43">
        <v>48344</v>
      </c>
      <c r="BJ12" s="43">
        <v>974321</v>
      </c>
      <c r="BK12" s="43">
        <v>3223839</v>
      </c>
      <c r="BL12" s="43">
        <v>2345287</v>
      </c>
      <c r="BM12" s="43">
        <v>1669009</v>
      </c>
      <c r="BN12" s="43">
        <v>25742609</v>
      </c>
      <c r="BO12" s="43">
        <v>7945766</v>
      </c>
      <c r="BP12" s="43">
        <v>4713942</v>
      </c>
      <c r="BQ12" s="43">
        <v>4119709</v>
      </c>
      <c r="BR12" s="43">
        <v>2674585</v>
      </c>
      <c r="BS12" s="43">
        <v>3002422</v>
      </c>
      <c r="BT12" s="37">
        <v>0</v>
      </c>
      <c r="BU12" s="37">
        <v>0</v>
      </c>
      <c r="BV12" s="43">
        <v>9998986</v>
      </c>
      <c r="BW12" s="43">
        <v>10490808</v>
      </c>
      <c r="BX12" s="37">
        <v>0</v>
      </c>
      <c r="BY12" s="37">
        <v>0</v>
      </c>
      <c r="BZ12" s="37">
        <v>0</v>
      </c>
      <c r="CA12" s="44">
        <f t="shared" si="6"/>
        <v>306501768</v>
      </c>
      <c r="CF12" s="50" t="s">
        <v>1353</v>
      </c>
      <c r="CG12" s="44"/>
      <c r="CH12" s="44"/>
      <c r="CI12" s="44"/>
    </row>
    <row r="13" spans="1:167" x14ac:dyDescent="0.25">
      <c r="A13" s="41" t="s">
        <v>100</v>
      </c>
      <c r="B13" s="41" t="s">
        <v>101</v>
      </c>
      <c r="C13" s="37">
        <v>0</v>
      </c>
      <c r="D13" s="37">
        <v>0</v>
      </c>
      <c r="E13" s="37">
        <v>0</v>
      </c>
      <c r="F13" s="43">
        <v>4401887</v>
      </c>
      <c r="G13" s="43">
        <v>1453484</v>
      </c>
      <c r="H13" s="37">
        <v>0</v>
      </c>
      <c r="I13" s="43">
        <v>1023237</v>
      </c>
      <c r="J13" s="43">
        <v>5292043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43">
        <v>5008843</v>
      </c>
      <c r="U13" s="37">
        <v>0</v>
      </c>
      <c r="V13" s="37">
        <v>0</v>
      </c>
      <c r="W13" s="37">
        <v>0</v>
      </c>
      <c r="X13" s="37">
        <v>0</v>
      </c>
      <c r="Y13" s="43">
        <v>1273095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43">
        <v>22341</v>
      </c>
      <c r="AI13" s="37">
        <v>0</v>
      </c>
      <c r="AJ13" s="37">
        <v>0</v>
      </c>
      <c r="AK13" s="37">
        <v>0</v>
      </c>
      <c r="AL13" s="43">
        <v>1432546</v>
      </c>
      <c r="AM13" s="44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43">
        <v>139178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43">
        <v>132579</v>
      </c>
      <c r="BF13" s="43">
        <v>252122</v>
      </c>
      <c r="BG13" s="37">
        <v>0</v>
      </c>
      <c r="BH13" s="37">
        <v>0</v>
      </c>
      <c r="BI13" s="37">
        <v>0</v>
      </c>
      <c r="BJ13" s="37">
        <v>0</v>
      </c>
      <c r="BK13" s="43">
        <v>4084425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43">
        <v>189704</v>
      </c>
      <c r="BW13" s="43">
        <v>197969</v>
      </c>
      <c r="BX13" s="37">
        <v>0</v>
      </c>
      <c r="BY13" s="37">
        <v>0</v>
      </c>
      <c r="BZ13" s="37">
        <v>0</v>
      </c>
      <c r="CA13" s="44">
        <f t="shared" si="6"/>
        <v>24903453</v>
      </c>
    </row>
    <row r="14" spans="1:167" x14ac:dyDescent="0.25">
      <c r="A14" s="51" t="s">
        <v>102</v>
      </c>
      <c r="B14" s="51" t="s">
        <v>103</v>
      </c>
      <c r="AM14" s="44"/>
      <c r="CA14" s="44">
        <f t="shared" si="6"/>
        <v>0</v>
      </c>
    </row>
    <row r="15" spans="1:167" x14ac:dyDescent="0.25">
      <c r="A15" s="51" t="s">
        <v>104</v>
      </c>
      <c r="B15" s="51" t="s">
        <v>105</v>
      </c>
      <c r="C15" s="43">
        <v>3372</v>
      </c>
      <c r="D15" s="43">
        <v>43941</v>
      </c>
      <c r="E15" s="37">
        <v>0</v>
      </c>
      <c r="F15" s="43">
        <v>38274</v>
      </c>
      <c r="G15" s="43">
        <v>12214</v>
      </c>
      <c r="H15" s="37">
        <v>0</v>
      </c>
      <c r="I15" s="43">
        <v>60845</v>
      </c>
      <c r="J15" s="37">
        <v>0</v>
      </c>
      <c r="K15" s="43">
        <v>74775</v>
      </c>
      <c r="L15" s="43">
        <v>16500</v>
      </c>
      <c r="M15" s="43">
        <v>3639</v>
      </c>
      <c r="N15" s="37">
        <v>0</v>
      </c>
      <c r="O15" s="43">
        <v>79394</v>
      </c>
      <c r="P15" s="43">
        <v>6000</v>
      </c>
      <c r="Q15" s="43">
        <v>327077</v>
      </c>
      <c r="R15" s="37">
        <v>0</v>
      </c>
      <c r="S15" s="43">
        <v>2582</v>
      </c>
      <c r="T15" s="43">
        <v>77494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43">
        <v>16000</v>
      </c>
      <c r="AB15" s="43">
        <v>17047</v>
      </c>
      <c r="AC15" s="37">
        <v>0</v>
      </c>
      <c r="AD15" s="43">
        <v>63995</v>
      </c>
      <c r="AE15" s="37">
        <v>0</v>
      </c>
      <c r="AF15" s="43">
        <v>3805</v>
      </c>
      <c r="AG15" s="43">
        <v>94817</v>
      </c>
      <c r="AH15" s="43">
        <v>68238</v>
      </c>
      <c r="AI15" s="43">
        <v>167615</v>
      </c>
      <c r="AJ15" s="37">
        <v>0</v>
      </c>
      <c r="AK15" s="37">
        <v>0</v>
      </c>
      <c r="AL15" s="43">
        <v>41766</v>
      </c>
      <c r="AM15" s="44">
        <v>2773</v>
      </c>
      <c r="AN15" s="43">
        <v>35047</v>
      </c>
      <c r="AO15" s="37">
        <v>0</v>
      </c>
      <c r="AP15" s="43">
        <v>20190</v>
      </c>
      <c r="AQ15" s="43">
        <v>8252</v>
      </c>
      <c r="AR15" s="37">
        <v>0</v>
      </c>
      <c r="AS15" s="37">
        <v>0</v>
      </c>
      <c r="AT15" s="37">
        <v>0</v>
      </c>
      <c r="AU15" s="43">
        <v>150062</v>
      </c>
      <c r="AV15" s="43">
        <v>6994</v>
      </c>
      <c r="AW15" s="43">
        <v>31213</v>
      </c>
      <c r="AX15" s="43">
        <v>14000</v>
      </c>
      <c r="AY15" s="37">
        <v>680</v>
      </c>
      <c r="AZ15" s="37">
        <v>0</v>
      </c>
      <c r="BA15" s="43">
        <v>185957</v>
      </c>
      <c r="BB15" s="37">
        <v>0</v>
      </c>
      <c r="BC15" s="37">
        <v>0</v>
      </c>
      <c r="BD15" s="43">
        <v>100233</v>
      </c>
      <c r="BE15" s="37">
        <v>0</v>
      </c>
      <c r="BF15" s="43">
        <v>110039</v>
      </c>
      <c r="BG15" s="43">
        <v>68100</v>
      </c>
      <c r="BH15" s="43">
        <v>18067</v>
      </c>
      <c r="BI15" s="43">
        <v>2881</v>
      </c>
      <c r="BJ15" s="43">
        <v>86525</v>
      </c>
      <c r="BK15" s="43">
        <v>35211</v>
      </c>
      <c r="BL15" s="43">
        <v>72325</v>
      </c>
      <c r="BM15" s="43">
        <v>15950</v>
      </c>
      <c r="BN15" s="43">
        <v>42858</v>
      </c>
      <c r="BO15" s="43">
        <v>1607015</v>
      </c>
      <c r="BP15" s="43">
        <v>94311</v>
      </c>
      <c r="BQ15" s="43">
        <v>230528</v>
      </c>
      <c r="BR15" s="37">
        <v>0</v>
      </c>
      <c r="BS15" s="37">
        <v>0</v>
      </c>
      <c r="BT15" s="37">
        <v>0</v>
      </c>
      <c r="BU15" s="37">
        <v>0</v>
      </c>
      <c r="BV15" s="43">
        <v>256007</v>
      </c>
      <c r="BW15" s="43">
        <v>591590</v>
      </c>
      <c r="BX15" s="43">
        <v>33886</v>
      </c>
      <c r="BY15" s="43">
        <v>146924</v>
      </c>
      <c r="BZ15" s="43">
        <v>224183</v>
      </c>
      <c r="CA15" s="44">
        <f t="shared" si="6"/>
        <v>5411191</v>
      </c>
    </row>
    <row r="16" spans="1:167" x14ac:dyDescent="0.25">
      <c r="A16" s="51" t="s">
        <v>106</v>
      </c>
      <c r="B16" s="51" t="s">
        <v>107</v>
      </c>
      <c r="C16" s="37">
        <v>0</v>
      </c>
      <c r="D16" s="43">
        <v>12820</v>
      </c>
      <c r="E16" s="37">
        <v>0</v>
      </c>
      <c r="F16" s="43">
        <v>10388</v>
      </c>
      <c r="G16" s="43">
        <v>3952</v>
      </c>
      <c r="H16" s="37">
        <v>0</v>
      </c>
      <c r="I16" s="37">
        <v>0</v>
      </c>
      <c r="J16" s="43">
        <v>95418</v>
      </c>
      <c r="K16" s="37">
        <v>0</v>
      </c>
      <c r="L16" s="43">
        <v>109100</v>
      </c>
      <c r="M16" s="37">
        <v>0</v>
      </c>
      <c r="N16" s="43">
        <v>47211</v>
      </c>
      <c r="O16" s="37">
        <v>0</v>
      </c>
      <c r="P16" s="37">
        <v>0</v>
      </c>
      <c r="Q16" s="37">
        <v>0</v>
      </c>
      <c r="R16" s="37">
        <v>0</v>
      </c>
      <c r="S16" s="43">
        <v>659315</v>
      </c>
      <c r="T16" s="43">
        <v>3073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43">
        <v>34921</v>
      </c>
      <c r="AG16" s="37">
        <v>0</v>
      </c>
      <c r="AH16" s="37">
        <v>0</v>
      </c>
      <c r="AI16" s="43">
        <v>187266</v>
      </c>
      <c r="AJ16" s="37">
        <v>0</v>
      </c>
      <c r="AK16" s="37">
        <v>0</v>
      </c>
      <c r="AL16" s="37">
        <v>0</v>
      </c>
      <c r="AM16" s="44">
        <v>0</v>
      </c>
      <c r="AN16" s="37">
        <v>0</v>
      </c>
      <c r="AO16" s="37">
        <v>0</v>
      </c>
      <c r="AP16" s="43">
        <v>14505</v>
      </c>
      <c r="AQ16" s="43">
        <v>7547</v>
      </c>
      <c r="AR16" s="37">
        <v>0</v>
      </c>
      <c r="AS16" s="37">
        <v>0</v>
      </c>
      <c r="AT16" s="37">
        <v>0</v>
      </c>
      <c r="AU16" s="43">
        <v>37214</v>
      </c>
      <c r="AV16" s="37">
        <v>0</v>
      </c>
      <c r="AW16" s="37">
        <v>0</v>
      </c>
      <c r="AX16" s="43">
        <v>1564</v>
      </c>
      <c r="AY16" s="37">
        <v>0</v>
      </c>
      <c r="AZ16" s="37">
        <v>0</v>
      </c>
      <c r="BA16" s="43">
        <v>3525</v>
      </c>
      <c r="BB16" s="37">
        <v>0</v>
      </c>
      <c r="BC16" s="43">
        <v>29020</v>
      </c>
      <c r="BD16" s="37">
        <v>0</v>
      </c>
      <c r="BE16" s="43">
        <v>405744</v>
      </c>
      <c r="BF16" s="43">
        <v>24318</v>
      </c>
      <c r="BG16" s="43">
        <v>639170</v>
      </c>
      <c r="BH16" s="37">
        <v>0</v>
      </c>
      <c r="BI16" s="37">
        <v>0</v>
      </c>
      <c r="BJ16" s="37">
        <v>0</v>
      </c>
      <c r="BK16" s="43">
        <v>415018</v>
      </c>
      <c r="BL16" s="37">
        <v>0</v>
      </c>
      <c r="BM16" s="37">
        <v>0</v>
      </c>
      <c r="BN16" s="37">
        <v>0</v>
      </c>
      <c r="BO16" s="37">
        <v>0</v>
      </c>
      <c r="BP16" s="43">
        <v>3426794</v>
      </c>
      <c r="BQ16" s="43">
        <v>45596</v>
      </c>
      <c r="BR16" s="37">
        <v>0</v>
      </c>
      <c r="BS16" s="43">
        <v>9415</v>
      </c>
      <c r="BT16" s="37">
        <v>0</v>
      </c>
      <c r="BU16" s="37">
        <v>0</v>
      </c>
      <c r="BV16" s="43">
        <v>102588</v>
      </c>
      <c r="BW16" s="37">
        <v>0</v>
      </c>
      <c r="BX16" s="43">
        <v>285555</v>
      </c>
      <c r="BY16" s="37">
        <v>0</v>
      </c>
      <c r="BZ16" s="37">
        <v>0</v>
      </c>
      <c r="CA16" s="44">
        <f t="shared" si="6"/>
        <v>6611037</v>
      </c>
    </row>
    <row r="17" spans="1:79" x14ac:dyDescent="0.25">
      <c r="A17" s="51" t="s">
        <v>108</v>
      </c>
      <c r="B17" s="51" t="s">
        <v>109</v>
      </c>
      <c r="C17" s="37">
        <v>0</v>
      </c>
      <c r="D17" s="37">
        <v>0</v>
      </c>
      <c r="E17" s="37">
        <v>0</v>
      </c>
      <c r="F17" s="43">
        <v>3043</v>
      </c>
      <c r="G17" s="37">
        <v>0</v>
      </c>
      <c r="H17" s="37">
        <v>0</v>
      </c>
      <c r="I17" s="37">
        <v>0</v>
      </c>
      <c r="J17" s="37">
        <v>0</v>
      </c>
      <c r="K17" s="43">
        <v>2043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43">
        <v>9638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820</v>
      </c>
      <c r="Z17" s="43">
        <v>69130</v>
      </c>
      <c r="AA17" s="43">
        <v>9000</v>
      </c>
      <c r="AB17" s="43">
        <v>3160</v>
      </c>
      <c r="AC17" s="37">
        <v>0</v>
      </c>
      <c r="AD17" s="43">
        <v>63484</v>
      </c>
      <c r="AE17" s="37">
        <v>0</v>
      </c>
      <c r="AF17" s="37">
        <v>0</v>
      </c>
      <c r="AG17" s="37">
        <v>0</v>
      </c>
      <c r="AH17" s="37">
        <v>0</v>
      </c>
      <c r="AI17" s="43">
        <v>19126</v>
      </c>
      <c r="AJ17" s="37">
        <v>0</v>
      </c>
      <c r="AK17" s="37">
        <v>0</v>
      </c>
      <c r="AL17" s="37">
        <v>0</v>
      </c>
      <c r="AM17" s="44">
        <v>0</v>
      </c>
      <c r="AN17" s="37">
        <v>0</v>
      </c>
      <c r="AO17" s="37">
        <v>0</v>
      </c>
      <c r="AP17" s="37">
        <v>0</v>
      </c>
      <c r="AQ17" s="37">
        <v>0</v>
      </c>
      <c r="AR17" s="43">
        <v>26247</v>
      </c>
      <c r="AS17" s="37">
        <v>0</v>
      </c>
      <c r="AT17" s="37">
        <v>0</v>
      </c>
      <c r="AU17" s="37">
        <v>0</v>
      </c>
      <c r="AV17" s="43">
        <v>25637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43">
        <v>18246</v>
      </c>
      <c r="BE17" s="37">
        <v>0</v>
      </c>
      <c r="BF17" s="37">
        <v>0</v>
      </c>
      <c r="BG17" s="43">
        <v>20754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43">
        <v>8877</v>
      </c>
      <c r="BQ17" s="37">
        <v>0</v>
      </c>
      <c r="BR17" s="37">
        <v>0</v>
      </c>
      <c r="BS17" s="43">
        <v>14110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44">
        <f t="shared" si="6"/>
        <v>293315</v>
      </c>
    </row>
    <row r="18" spans="1:79" x14ac:dyDescent="0.25">
      <c r="A18" s="51" t="s">
        <v>110</v>
      </c>
      <c r="B18" s="51" t="s">
        <v>111</v>
      </c>
      <c r="C18" s="37">
        <v>0</v>
      </c>
      <c r="D18" s="37">
        <v>6</v>
      </c>
      <c r="E18" s="37">
        <v>6</v>
      </c>
      <c r="F18" s="37">
        <v>0</v>
      </c>
      <c r="G18" s="37">
        <v>6</v>
      </c>
      <c r="H18" s="37">
        <v>6</v>
      </c>
      <c r="I18" s="37">
        <v>6</v>
      </c>
      <c r="J18" s="37">
        <v>0</v>
      </c>
      <c r="K18" s="37">
        <v>6</v>
      </c>
      <c r="L18" s="37">
        <v>0</v>
      </c>
      <c r="M18" s="37">
        <v>0</v>
      </c>
      <c r="N18" s="37">
        <v>6</v>
      </c>
      <c r="O18" s="37">
        <v>6</v>
      </c>
      <c r="P18" s="37">
        <v>6</v>
      </c>
      <c r="Q18" s="37">
        <v>48</v>
      </c>
      <c r="R18" s="37">
        <v>0</v>
      </c>
      <c r="S18" s="37">
        <v>12</v>
      </c>
      <c r="T18" s="37">
        <v>6</v>
      </c>
      <c r="U18" s="37">
        <v>0</v>
      </c>
      <c r="V18" s="37">
        <v>6</v>
      </c>
      <c r="W18" s="37">
        <v>0</v>
      </c>
      <c r="X18" s="37">
        <v>6</v>
      </c>
      <c r="Y18" s="37">
        <v>6</v>
      </c>
      <c r="Z18" s="37">
        <v>6</v>
      </c>
      <c r="AA18" s="37">
        <v>6</v>
      </c>
      <c r="AB18" s="37">
        <v>6</v>
      </c>
      <c r="AC18" s="37">
        <v>6</v>
      </c>
      <c r="AD18" s="37">
        <v>0</v>
      </c>
      <c r="AE18" s="37">
        <v>0</v>
      </c>
      <c r="AF18" s="37">
        <v>6</v>
      </c>
      <c r="AG18" s="37">
        <v>0</v>
      </c>
      <c r="AH18" s="37">
        <v>12</v>
      </c>
      <c r="AI18" s="43">
        <v>1050</v>
      </c>
      <c r="AJ18" s="37">
        <v>6</v>
      </c>
      <c r="AK18" s="37">
        <v>6</v>
      </c>
      <c r="AL18" s="37">
        <v>6</v>
      </c>
      <c r="AM18" s="44">
        <v>6</v>
      </c>
      <c r="AN18" s="37">
        <v>30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</v>
      </c>
      <c r="AV18" s="37">
        <v>0</v>
      </c>
      <c r="AW18" s="37">
        <v>6</v>
      </c>
      <c r="AX18" s="37">
        <v>6</v>
      </c>
      <c r="AY18" s="37">
        <v>6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6</v>
      </c>
      <c r="BF18" s="37">
        <v>0</v>
      </c>
      <c r="BG18" s="37">
        <v>12</v>
      </c>
      <c r="BH18" s="37">
        <v>0</v>
      </c>
      <c r="BI18" s="37">
        <v>0</v>
      </c>
      <c r="BJ18" s="37">
        <v>6</v>
      </c>
      <c r="BK18" s="37">
        <v>6</v>
      </c>
      <c r="BL18" s="37">
        <v>6</v>
      </c>
      <c r="BM18" s="37">
        <v>6</v>
      </c>
      <c r="BN18" s="37">
        <v>0</v>
      </c>
      <c r="BO18" s="37">
        <v>6</v>
      </c>
      <c r="BP18" s="37">
        <v>6</v>
      </c>
      <c r="BQ18" s="37">
        <v>6</v>
      </c>
      <c r="BR18" s="37">
        <v>6</v>
      </c>
      <c r="BS18" s="37">
        <v>0</v>
      </c>
      <c r="BT18" s="37">
        <v>6</v>
      </c>
      <c r="BU18" s="37">
        <v>6</v>
      </c>
      <c r="BV18" s="37">
        <v>6</v>
      </c>
      <c r="BW18" s="37">
        <v>6</v>
      </c>
      <c r="BX18" s="37">
        <v>210</v>
      </c>
      <c r="BY18" s="37">
        <v>132</v>
      </c>
      <c r="BZ18" s="37">
        <v>18</v>
      </c>
      <c r="CA18" s="44">
        <f t="shared" si="6"/>
        <v>1752</v>
      </c>
    </row>
    <row r="19" spans="1:79" x14ac:dyDescent="0.25">
      <c r="A19" s="51" t="s">
        <v>112</v>
      </c>
      <c r="B19" s="51" t="s">
        <v>113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43">
        <v>243546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44">
        <v>0</v>
      </c>
      <c r="AN19" s="37">
        <v>0</v>
      </c>
      <c r="AO19" s="37">
        <v>0</v>
      </c>
      <c r="AP19" s="37">
        <v>0</v>
      </c>
      <c r="AQ19" s="43">
        <v>15130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43">
        <v>291893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43">
        <v>3370</v>
      </c>
      <c r="BR19" s="37">
        <v>0</v>
      </c>
      <c r="BS19" s="37">
        <v>0</v>
      </c>
      <c r="BT19" s="37">
        <v>0</v>
      </c>
      <c r="BU19" s="43">
        <v>20500</v>
      </c>
      <c r="BV19" s="37">
        <v>0</v>
      </c>
      <c r="BW19" s="37">
        <v>0</v>
      </c>
      <c r="BX19" s="43">
        <v>12696</v>
      </c>
      <c r="BY19" s="43">
        <v>10400</v>
      </c>
      <c r="BZ19" s="37">
        <v>0</v>
      </c>
      <c r="CA19" s="44">
        <f t="shared" si="6"/>
        <v>597535</v>
      </c>
    </row>
    <row r="20" spans="1:79" x14ac:dyDescent="0.25">
      <c r="A20" s="51" t="s">
        <v>114</v>
      </c>
      <c r="B20" s="51" t="s">
        <v>115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44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0</v>
      </c>
      <c r="BV20" s="37">
        <v>0</v>
      </c>
      <c r="BW20" s="37">
        <v>0</v>
      </c>
      <c r="BX20" s="37">
        <v>0</v>
      </c>
      <c r="BY20" s="37">
        <v>0</v>
      </c>
      <c r="BZ20" s="37">
        <v>0</v>
      </c>
      <c r="CA20" s="44">
        <f t="shared" si="6"/>
        <v>0</v>
      </c>
    </row>
    <row r="21" spans="1:79" x14ac:dyDescent="0.25">
      <c r="A21" s="51" t="s">
        <v>116</v>
      </c>
      <c r="B21" s="51" t="s">
        <v>117</v>
      </c>
      <c r="AM21" s="44"/>
      <c r="CA21" s="44">
        <f t="shared" si="6"/>
        <v>0</v>
      </c>
    </row>
    <row r="22" spans="1:79" x14ac:dyDescent="0.25">
      <c r="A22" s="51" t="s">
        <v>118</v>
      </c>
      <c r="B22" s="51" t="s">
        <v>119</v>
      </c>
      <c r="C22" s="37">
        <v>0</v>
      </c>
      <c r="D22" s="37">
        <v>0</v>
      </c>
      <c r="E22" s="37">
        <v>0</v>
      </c>
      <c r="F22" s="43">
        <v>153034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44">
        <v>0</v>
      </c>
      <c r="AN22" s="37">
        <v>0</v>
      </c>
      <c r="AO22" s="37">
        <v>0</v>
      </c>
      <c r="AP22" s="37">
        <v>0</v>
      </c>
      <c r="AQ22" s="37">
        <v>0</v>
      </c>
      <c r="AR22" s="43">
        <v>40452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43">
        <v>321208</v>
      </c>
      <c r="BE22" s="37">
        <v>0</v>
      </c>
      <c r="BF22" s="37">
        <v>0</v>
      </c>
      <c r="BG22" s="43">
        <v>38379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37">
        <v>0</v>
      </c>
      <c r="BS22" s="43">
        <v>12645</v>
      </c>
      <c r="BT22" s="37">
        <v>0</v>
      </c>
      <c r="BU22" s="37">
        <v>0</v>
      </c>
      <c r="BV22" s="37">
        <v>0</v>
      </c>
      <c r="BW22" s="37">
        <v>0</v>
      </c>
      <c r="BX22" s="37">
        <v>0</v>
      </c>
      <c r="BY22" s="37">
        <v>0</v>
      </c>
      <c r="BZ22" s="37">
        <v>0</v>
      </c>
      <c r="CA22" s="44">
        <f t="shared" si="6"/>
        <v>565718</v>
      </c>
    </row>
    <row r="23" spans="1:79" x14ac:dyDescent="0.25">
      <c r="A23" s="51" t="s">
        <v>120</v>
      </c>
      <c r="B23" s="51" t="s">
        <v>121</v>
      </c>
      <c r="C23" s="37">
        <v>0</v>
      </c>
      <c r="D23" s="37">
        <v>0</v>
      </c>
      <c r="E23" s="37">
        <v>0</v>
      </c>
      <c r="F23" s="43">
        <v>30098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44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37">
        <v>0</v>
      </c>
      <c r="BP23" s="37">
        <v>0</v>
      </c>
      <c r="BQ23" s="37">
        <v>0</v>
      </c>
      <c r="BR23" s="37">
        <v>0</v>
      </c>
      <c r="BS23" s="37">
        <v>0</v>
      </c>
      <c r="BT23" s="37">
        <v>0</v>
      </c>
      <c r="BU23" s="37">
        <v>0</v>
      </c>
      <c r="BV23" s="37">
        <v>0</v>
      </c>
      <c r="BW23" s="37">
        <v>0</v>
      </c>
      <c r="BX23" s="37">
        <v>0</v>
      </c>
      <c r="BY23" s="37">
        <v>0</v>
      </c>
      <c r="BZ23" s="37">
        <v>0</v>
      </c>
      <c r="CA23" s="44">
        <f t="shared" si="6"/>
        <v>30098</v>
      </c>
    </row>
    <row r="24" spans="1:79" x14ac:dyDescent="0.25">
      <c r="A24" s="51" t="s">
        <v>122</v>
      </c>
      <c r="B24" s="51" t="s">
        <v>123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44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0</v>
      </c>
      <c r="BH24" s="37">
        <v>0</v>
      </c>
      <c r="BI24" s="37">
        <v>0</v>
      </c>
      <c r="BJ24" s="37">
        <v>0</v>
      </c>
      <c r="BK24" s="37">
        <v>0</v>
      </c>
      <c r="BL24" s="37">
        <v>0</v>
      </c>
      <c r="BM24" s="37">
        <v>0</v>
      </c>
      <c r="BN24" s="37">
        <v>0</v>
      </c>
      <c r="BO24" s="37">
        <v>0</v>
      </c>
      <c r="BP24" s="37">
        <v>0</v>
      </c>
      <c r="BQ24" s="37">
        <v>0</v>
      </c>
      <c r="BR24" s="37">
        <v>0</v>
      </c>
      <c r="BS24" s="37">
        <v>0</v>
      </c>
      <c r="BT24" s="37">
        <v>0</v>
      </c>
      <c r="BU24" s="37">
        <v>0</v>
      </c>
      <c r="BV24" s="37">
        <v>0</v>
      </c>
      <c r="BW24" s="37">
        <v>0</v>
      </c>
      <c r="BX24" s="37">
        <v>0</v>
      </c>
      <c r="BY24" s="37">
        <v>0</v>
      </c>
      <c r="BZ24" s="37">
        <v>0</v>
      </c>
      <c r="CA24" s="44">
        <f t="shared" si="6"/>
        <v>0</v>
      </c>
    </row>
    <row r="25" spans="1:79" x14ac:dyDescent="0.25">
      <c r="A25" s="51" t="s">
        <v>124</v>
      </c>
      <c r="B25" s="51" t="s">
        <v>125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44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37">
        <v>0</v>
      </c>
      <c r="BW25" s="37">
        <v>0</v>
      </c>
      <c r="BX25" s="37">
        <v>0</v>
      </c>
      <c r="BY25" s="37">
        <v>0</v>
      </c>
      <c r="BZ25" s="37">
        <v>0</v>
      </c>
      <c r="CA25" s="44">
        <f t="shared" si="6"/>
        <v>0</v>
      </c>
    </row>
    <row r="26" spans="1:79" x14ac:dyDescent="0.25">
      <c r="A26" s="51" t="s">
        <v>126</v>
      </c>
      <c r="B26" s="51" t="s">
        <v>127</v>
      </c>
      <c r="AM26" s="44"/>
      <c r="CA26" s="44">
        <f t="shared" si="6"/>
        <v>0</v>
      </c>
    </row>
    <row r="27" spans="1:79" x14ac:dyDescent="0.25">
      <c r="A27" s="51" t="s">
        <v>128</v>
      </c>
      <c r="B27" s="51" t="s">
        <v>129</v>
      </c>
      <c r="C27" s="43">
        <v>167073</v>
      </c>
      <c r="D27" s="43">
        <v>7530889</v>
      </c>
      <c r="E27" s="43">
        <v>270517</v>
      </c>
      <c r="F27" s="43">
        <v>1310432</v>
      </c>
      <c r="G27" s="43">
        <v>532963</v>
      </c>
      <c r="H27" s="43">
        <v>448274</v>
      </c>
      <c r="I27" s="43">
        <v>637733</v>
      </c>
      <c r="J27" s="43">
        <v>3455595</v>
      </c>
      <c r="K27" s="43">
        <v>504009</v>
      </c>
      <c r="L27" s="43">
        <v>173363</v>
      </c>
      <c r="M27" s="43">
        <v>33717</v>
      </c>
      <c r="N27" s="43">
        <v>11595411</v>
      </c>
      <c r="O27" s="43">
        <v>5575215</v>
      </c>
      <c r="P27" s="43">
        <v>287563</v>
      </c>
      <c r="Q27" s="43">
        <v>17746058</v>
      </c>
      <c r="R27" s="43">
        <v>315631</v>
      </c>
      <c r="S27" s="43">
        <v>1568290</v>
      </c>
      <c r="T27" s="43">
        <v>751225</v>
      </c>
      <c r="U27" s="37">
        <v>0</v>
      </c>
      <c r="V27" s="43">
        <v>225940</v>
      </c>
      <c r="W27" s="43">
        <v>3592743</v>
      </c>
      <c r="X27" s="43">
        <v>37739</v>
      </c>
      <c r="Y27" s="43">
        <v>338828</v>
      </c>
      <c r="Z27" s="43">
        <v>4776537</v>
      </c>
      <c r="AA27" s="43">
        <v>1088490</v>
      </c>
      <c r="AB27" s="43">
        <v>273337</v>
      </c>
      <c r="AC27" s="43">
        <v>349454</v>
      </c>
      <c r="AD27" s="43">
        <v>2046405</v>
      </c>
      <c r="AE27" s="43">
        <v>54442</v>
      </c>
      <c r="AF27" s="43">
        <v>308256</v>
      </c>
      <c r="AG27" s="43">
        <v>158437</v>
      </c>
      <c r="AH27" s="43">
        <v>1500287</v>
      </c>
      <c r="AI27" s="43">
        <v>26329441</v>
      </c>
      <c r="AJ27" s="43">
        <v>86440</v>
      </c>
      <c r="AK27" s="43">
        <v>71227</v>
      </c>
      <c r="AL27" s="43">
        <v>85146</v>
      </c>
      <c r="AM27" s="44">
        <v>603972</v>
      </c>
      <c r="AN27" s="43">
        <v>5750057</v>
      </c>
      <c r="AO27" s="37">
        <v>0</v>
      </c>
      <c r="AP27" s="43">
        <v>165628</v>
      </c>
      <c r="AQ27" s="43">
        <v>2377515</v>
      </c>
      <c r="AR27" s="43">
        <v>731084</v>
      </c>
      <c r="AS27" s="43">
        <v>338346</v>
      </c>
      <c r="AT27" s="43">
        <v>158267</v>
      </c>
      <c r="AU27" s="43">
        <v>8935646</v>
      </c>
      <c r="AV27" s="43">
        <v>2374031</v>
      </c>
      <c r="AW27" s="43">
        <v>2617825</v>
      </c>
      <c r="AX27" s="43">
        <v>1046266</v>
      </c>
      <c r="AY27" s="43">
        <v>5374388</v>
      </c>
      <c r="AZ27" s="43">
        <v>190666</v>
      </c>
      <c r="BA27" s="43">
        <v>479718</v>
      </c>
      <c r="BB27" s="43">
        <v>746316</v>
      </c>
      <c r="BC27" s="43">
        <v>1148873</v>
      </c>
      <c r="BD27" s="43">
        <v>2777856</v>
      </c>
      <c r="BE27" s="43">
        <v>2053990</v>
      </c>
      <c r="BF27" s="43">
        <v>1640173</v>
      </c>
      <c r="BG27" s="43">
        <v>5016642</v>
      </c>
      <c r="BH27" s="43">
        <v>7798122</v>
      </c>
      <c r="BI27" s="43">
        <v>385050</v>
      </c>
      <c r="BJ27" s="43">
        <v>381099</v>
      </c>
      <c r="BK27" s="43">
        <v>1108904</v>
      </c>
      <c r="BL27" s="43">
        <v>171177</v>
      </c>
      <c r="BM27" s="43">
        <v>4085359</v>
      </c>
      <c r="BN27" s="43">
        <v>4386359</v>
      </c>
      <c r="BO27" s="43">
        <v>1893670</v>
      </c>
      <c r="BP27" s="43">
        <v>1268494</v>
      </c>
      <c r="BQ27" s="43">
        <v>2094325</v>
      </c>
      <c r="BR27" s="43">
        <v>438481</v>
      </c>
      <c r="BS27" s="43">
        <v>679514</v>
      </c>
      <c r="BT27" s="43">
        <v>1512990</v>
      </c>
      <c r="BU27" s="43">
        <v>3277729</v>
      </c>
      <c r="BV27" s="43">
        <v>4851571</v>
      </c>
      <c r="BW27" s="43">
        <v>6211217</v>
      </c>
      <c r="BX27" s="43">
        <v>1248524</v>
      </c>
      <c r="BY27" s="43">
        <v>1090837</v>
      </c>
      <c r="BZ27" s="43">
        <v>97081</v>
      </c>
      <c r="CA27" s="44">
        <f t="shared" si="6"/>
        <v>181734869</v>
      </c>
    </row>
    <row r="28" spans="1:79" x14ac:dyDescent="0.25">
      <c r="A28" s="51" t="s">
        <v>130</v>
      </c>
      <c r="B28" s="51" t="s">
        <v>131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43">
        <v>3301</v>
      </c>
      <c r="R28" s="43">
        <v>145095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43">
        <v>90147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44">
        <v>0</v>
      </c>
      <c r="AN28" s="43">
        <v>2956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37">
        <v>0</v>
      </c>
      <c r="BQ28" s="43">
        <v>23434</v>
      </c>
      <c r="BR28" s="37">
        <v>0</v>
      </c>
      <c r="BS28" s="37">
        <v>-29</v>
      </c>
      <c r="BT28" s="37">
        <v>0</v>
      </c>
      <c r="BU28" s="37">
        <v>0</v>
      </c>
      <c r="BV28" s="37">
        <v>0</v>
      </c>
      <c r="BW28" s="37">
        <v>0</v>
      </c>
      <c r="BX28" s="43">
        <v>9281</v>
      </c>
      <c r="BY28" s="37">
        <v>0</v>
      </c>
      <c r="BZ28" s="37">
        <v>0</v>
      </c>
      <c r="CA28" s="44">
        <f t="shared" si="6"/>
        <v>274185</v>
      </c>
    </row>
    <row r="29" spans="1:79" x14ac:dyDescent="0.25">
      <c r="A29" s="51" t="s">
        <v>132</v>
      </c>
      <c r="B29" s="51" t="s">
        <v>133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3">
        <v>3866</v>
      </c>
      <c r="M29" s="37">
        <v>0</v>
      </c>
      <c r="N29" s="37">
        <v>0</v>
      </c>
      <c r="O29" s="37">
        <v>0</v>
      </c>
      <c r="P29" s="37">
        <v>0</v>
      </c>
      <c r="Q29" s="43">
        <v>115271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43">
        <v>19616</v>
      </c>
      <c r="AJ29" s="43">
        <v>-12860</v>
      </c>
      <c r="AK29" s="37">
        <v>0</v>
      </c>
      <c r="AL29" s="43">
        <v>13293</v>
      </c>
      <c r="AM29" s="44">
        <v>0</v>
      </c>
      <c r="AN29" s="43">
        <v>1841633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43">
        <v>49188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0</v>
      </c>
      <c r="BV29" s="37">
        <v>150</v>
      </c>
      <c r="BW29" s="37">
        <v>0</v>
      </c>
      <c r="BX29" s="43">
        <v>43352</v>
      </c>
      <c r="BY29" s="37">
        <v>0</v>
      </c>
      <c r="BZ29" s="43">
        <v>5536</v>
      </c>
      <c r="CA29" s="44">
        <f t="shared" si="6"/>
        <v>2079045</v>
      </c>
    </row>
    <row r="30" spans="1:79" x14ac:dyDescent="0.25">
      <c r="A30" s="51" t="s">
        <v>134</v>
      </c>
      <c r="B30" s="51" t="s">
        <v>135</v>
      </c>
      <c r="AM30" s="44"/>
      <c r="CA30" s="44">
        <f t="shared" si="6"/>
        <v>0</v>
      </c>
    </row>
    <row r="31" spans="1:79" x14ac:dyDescent="0.25">
      <c r="A31" s="51" t="s">
        <v>136</v>
      </c>
      <c r="B31" s="51" t="s">
        <v>137</v>
      </c>
      <c r="C31" s="43">
        <v>94300</v>
      </c>
      <c r="D31" s="43">
        <v>405280</v>
      </c>
      <c r="E31" s="37">
        <v>0</v>
      </c>
      <c r="F31" s="43">
        <v>943207</v>
      </c>
      <c r="G31" s="43">
        <v>204643</v>
      </c>
      <c r="H31" s="43">
        <v>159283</v>
      </c>
      <c r="I31" s="43">
        <v>220146</v>
      </c>
      <c r="J31" s="43">
        <v>611425</v>
      </c>
      <c r="K31" s="43">
        <v>20011</v>
      </c>
      <c r="L31" s="43">
        <v>15565</v>
      </c>
      <c r="M31" s="37">
        <v>180</v>
      </c>
      <c r="N31" s="43">
        <v>958214</v>
      </c>
      <c r="O31" s="43">
        <v>2173665</v>
      </c>
      <c r="P31" s="37">
        <v>0</v>
      </c>
      <c r="Q31" s="43">
        <v>2588510</v>
      </c>
      <c r="R31" s="43">
        <v>98411</v>
      </c>
      <c r="S31" s="37">
        <v>173</v>
      </c>
      <c r="T31" s="43">
        <v>5037</v>
      </c>
      <c r="U31" s="37">
        <v>0</v>
      </c>
      <c r="V31" s="37">
        <v>0</v>
      </c>
      <c r="W31" s="37">
        <v>509</v>
      </c>
      <c r="X31" s="43">
        <v>72732</v>
      </c>
      <c r="Y31" s="37">
        <v>0</v>
      </c>
      <c r="Z31" s="43">
        <v>1355246</v>
      </c>
      <c r="AA31" s="37">
        <v>0</v>
      </c>
      <c r="AB31" s="43">
        <v>218477</v>
      </c>
      <c r="AC31" s="37">
        <v>0</v>
      </c>
      <c r="AD31" s="43">
        <v>491672</v>
      </c>
      <c r="AE31" s="43">
        <v>11725</v>
      </c>
      <c r="AF31" s="43">
        <v>56664</v>
      </c>
      <c r="AG31" s="43">
        <v>5559</v>
      </c>
      <c r="AH31" s="43">
        <v>192937</v>
      </c>
      <c r="AI31" s="43">
        <v>5546892</v>
      </c>
      <c r="AJ31" s="37">
        <v>0</v>
      </c>
      <c r="AK31" s="37">
        <v>0</v>
      </c>
      <c r="AL31" s="37">
        <v>881</v>
      </c>
      <c r="AM31" s="44">
        <v>53</v>
      </c>
      <c r="AN31" s="43">
        <v>3578064</v>
      </c>
      <c r="AO31" s="37">
        <v>0</v>
      </c>
      <c r="AP31" s="43">
        <v>609528</v>
      </c>
      <c r="AQ31" s="43">
        <v>1062837</v>
      </c>
      <c r="AR31" s="37">
        <v>0</v>
      </c>
      <c r="AS31" s="37">
        <v>0</v>
      </c>
      <c r="AT31" s="37">
        <v>0</v>
      </c>
      <c r="AU31" s="43">
        <v>2284636</v>
      </c>
      <c r="AV31" s="43">
        <v>205989</v>
      </c>
      <c r="AW31" s="43">
        <v>23778</v>
      </c>
      <c r="AX31" s="37">
        <v>0</v>
      </c>
      <c r="AY31" s="43">
        <v>1484336</v>
      </c>
      <c r="AZ31" s="37">
        <v>608</v>
      </c>
      <c r="BA31" s="37">
        <v>10</v>
      </c>
      <c r="BB31" s="37">
        <v>0</v>
      </c>
      <c r="BC31" s="43">
        <v>233123</v>
      </c>
      <c r="BD31" s="43">
        <v>599517</v>
      </c>
      <c r="BE31" s="43">
        <v>31503</v>
      </c>
      <c r="BF31" s="43">
        <v>966176</v>
      </c>
      <c r="BG31" s="37">
        <v>400</v>
      </c>
      <c r="BH31" s="43">
        <v>1869725</v>
      </c>
      <c r="BI31" s="43">
        <v>94069</v>
      </c>
      <c r="BJ31" s="43">
        <v>300292</v>
      </c>
      <c r="BK31" s="43">
        <v>992637</v>
      </c>
      <c r="BL31" s="43">
        <v>113819</v>
      </c>
      <c r="BM31" s="43">
        <v>150890</v>
      </c>
      <c r="BN31" s="43">
        <v>492369</v>
      </c>
      <c r="BO31" s="43">
        <v>581204</v>
      </c>
      <c r="BP31" s="43">
        <v>114696</v>
      </c>
      <c r="BQ31" s="37">
        <v>436</v>
      </c>
      <c r="BR31" s="37">
        <v>0</v>
      </c>
      <c r="BS31" s="37">
        <v>4</v>
      </c>
      <c r="BT31" s="43">
        <v>222360</v>
      </c>
      <c r="BU31" s="43">
        <v>877601</v>
      </c>
      <c r="BV31" s="43">
        <v>721406</v>
      </c>
      <c r="BW31" s="43">
        <v>2817848</v>
      </c>
      <c r="BX31" s="43">
        <v>1000310</v>
      </c>
      <c r="BY31" s="43">
        <v>585387</v>
      </c>
      <c r="BZ31" s="43">
        <v>38703</v>
      </c>
      <c r="CA31" s="44">
        <f t="shared" si="6"/>
        <v>38505658</v>
      </c>
    </row>
    <row r="32" spans="1:79" x14ac:dyDescent="0.25">
      <c r="A32" s="51" t="s">
        <v>138</v>
      </c>
      <c r="B32" s="51" t="s">
        <v>139</v>
      </c>
      <c r="C32" s="37">
        <v>263</v>
      </c>
      <c r="D32" s="37">
        <v>38</v>
      </c>
      <c r="E32" s="37">
        <v>0</v>
      </c>
      <c r="F32" s="43">
        <v>131948</v>
      </c>
      <c r="G32" s="43">
        <v>37042</v>
      </c>
      <c r="H32" s="37">
        <v>0</v>
      </c>
      <c r="I32" s="37">
        <v>0</v>
      </c>
      <c r="J32" s="43">
        <v>42946</v>
      </c>
      <c r="K32" s="43">
        <v>2131</v>
      </c>
      <c r="L32" s="37">
        <v>0</v>
      </c>
      <c r="M32" s="37">
        <v>0</v>
      </c>
      <c r="N32" s="43">
        <v>120845</v>
      </c>
      <c r="O32" s="43">
        <v>592659</v>
      </c>
      <c r="P32" s="37">
        <v>0</v>
      </c>
      <c r="Q32" s="43">
        <v>300617</v>
      </c>
      <c r="R32" s="43">
        <v>7868</v>
      </c>
      <c r="S32" s="37">
        <v>0</v>
      </c>
      <c r="T32" s="37">
        <v>20</v>
      </c>
      <c r="U32" s="37">
        <v>0</v>
      </c>
      <c r="V32" s="37">
        <v>0</v>
      </c>
      <c r="W32" s="37">
        <v>6</v>
      </c>
      <c r="X32" s="37">
        <v>0</v>
      </c>
      <c r="Y32" s="37">
        <v>0</v>
      </c>
      <c r="Z32" s="43">
        <v>307463</v>
      </c>
      <c r="AA32" s="37">
        <v>0</v>
      </c>
      <c r="AB32" s="37">
        <v>108</v>
      </c>
      <c r="AC32" s="37">
        <v>0</v>
      </c>
      <c r="AD32" s="43">
        <v>13421</v>
      </c>
      <c r="AE32" s="37">
        <v>473</v>
      </c>
      <c r="AF32" s="37">
        <v>4</v>
      </c>
      <c r="AG32" s="37">
        <v>3</v>
      </c>
      <c r="AH32" s="43">
        <v>5885</v>
      </c>
      <c r="AI32" s="37">
        <v>0</v>
      </c>
      <c r="AJ32" s="37">
        <v>0</v>
      </c>
      <c r="AK32" s="37">
        <v>0</v>
      </c>
      <c r="AL32" s="37">
        <v>160</v>
      </c>
      <c r="AM32" s="44">
        <v>0</v>
      </c>
      <c r="AN32" s="43">
        <v>3819</v>
      </c>
      <c r="AO32" s="37">
        <v>0</v>
      </c>
      <c r="AP32" s="43">
        <v>8040</v>
      </c>
      <c r="AQ32" s="43">
        <v>216881</v>
      </c>
      <c r="AR32" s="37">
        <v>0</v>
      </c>
      <c r="AS32" s="37">
        <v>0</v>
      </c>
      <c r="AT32" s="37">
        <v>0</v>
      </c>
      <c r="AU32" s="43">
        <v>200144</v>
      </c>
      <c r="AV32" s="43">
        <v>35197</v>
      </c>
      <c r="AW32" s="37">
        <v>0</v>
      </c>
      <c r="AX32" s="37">
        <v>0</v>
      </c>
      <c r="AY32" s="43">
        <v>132991</v>
      </c>
      <c r="AZ32" s="37">
        <v>15</v>
      </c>
      <c r="BA32" s="37">
        <v>2</v>
      </c>
      <c r="BB32" s="37">
        <v>0</v>
      </c>
      <c r="BC32" s="43">
        <v>8536</v>
      </c>
      <c r="BD32" s="43">
        <v>141103</v>
      </c>
      <c r="BE32" s="43">
        <v>3546</v>
      </c>
      <c r="BF32" s="43">
        <v>144827</v>
      </c>
      <c r="BG32" s="37">
        <v>0</v>
      </c>
      <c r="BH32" s="37">
        <v>0</v>
      </c>
      <c r="BI32" s="43">
        <v>4978</v>
      </c>
      <c r="BJ32" s="43">
        <v>1006</v>
      </c>
      <c r="BK32" s="37">
        <v>236</v>
      </c>
      <c r="BL32" s="37">
        <v>0</v>
      </c>
      <c r="BM32" s="43">
        <v>23778</v>
      </c>
      <c r="BN32" s="43">
        <v>144316</v>
      </c>
      <c r="BO32" s="43">
        <v>93120</v>
      </c>
      <c r="BP32" s="37">
        <v>0</v>
      </c>
      <c r="BQ32" s="37">
        <v>43</v>
      </c>
      <c r="BR32" s="37">
        <v>0</v>
      </c>
      <c r="BS32" s="37">
        <v>803</v>
      </c>
      <c r="BT32" s="43">
        <v>7454</v>
      </c>
      <c r="BU32" s="43">
        <v>91345</v>
      </c>
      <c r="BV32" s="43">
        <v>25285</v>
      </c>
      <c r="BW32" s="43">
        <v>445139</v>
      </c>
      <c r="BX32" s="43">
        <v>91955</v>
      </c>
      <c r="BY32" s="37">
        <v>0</v>
      </c>
      <c r="BZ32" s="37">
        <v>0</v>
      </c>
      <c r="CA32" s="44">
        <f t="shared" si="6"/>
        <v>3388459</v>
      </c>
    </row>
    <row r="33" spans="1:79" x14ac:dyDescent="0.25">
      <c r="A33" s="51" t="s">
        <v>140</v>
      </c>
      <c r="B33" s="51" t="s">
        <v>141</v>
      </c>
      <c r="C33" s="43">
        <v>35208</v>
      </c>
      <c r="D33" s="37">
        <v>0</v>
      </c>
      <c r="E33" s="37">
        <v>478</v>
      </c>
      <c r="F33" s="43">
        <v>513801</v>
      </c>
      <c r="G33" s="43">
        <v>164935</v>
      </c>
      <c r="H33" s="43">
        <v>86202</v>
      </c>
      <c r="I33" s="43">
        <v>18909</v>
      </c>
      <c r="J33" s="43">
        <v>167833</v>
      </c>
      <c r="K33" s="43">
        <v>18317</v>
      </c>
      <c r="L33" s="37">
        <v>376</v>
      </c>
      <c r="M33" s="43">
        <v>13548</v>
      </c>
      <c r="N33" s="43">
        <v>307675</v>
      </c>
      <c r="O33" s="43">
        <v>37023</v>
      </c>
      <c r="P33" s="43">
        <v>3994</v>
      </c>
      <c r="Q33" s="43">
        <v>893913</v>
      </c>
      <c r="R33" s="43">
        <v>322677</v>
      </c>
      <c r="S33" s="43">
        <v>42944</v>
      </c>
      <c r="T33" s="43">
        <v>17533</v>
      </c>
      <c r="U33" s="37">
        <v>0</v>
      </c>
      <c r="V33" s="43">
        <v>59194</v>
      </c>
      <c r="W33" s="43">
        <v>11174</v>
      </c>
      <c r="X33" s="43">
        <v>2756</v>
      </c>
      <c r="Y33" s="43">
        <v>99240</v>
      </c>
      <c r="Z33" s="43">
        <v>179291</v>
      </c>
      <c r="AA33" s="37">
        <v>704</v>
      </c>
      <c r="AB33" s="43">
        <v>155681</v>
      </c>
      <c r="AC33" s="37">
        <v>0</v>
      </c>
      <c r="AD33" s="43">
        <v>130256</v>
      </c>
      <c r="AE33" s="43">
        <v>18336</v>
      </c>
      <c r="AF33" s="43">
        <v>26631</v>
      </c>
      <c r="AG33" s="43">
        <v>25940</v>
      </c>
      <c r="AH33" s="43">
        <v>44301</v>
      </c>
      <c r="AI33" s="43">
        <v>6051608</v>
      </c>
      <c r="AJ33" s="43">
        <v>324874</v>
      </c>
      <c r="AK33" s="43">
        <v>10544</v>
      </c>
      <c r="AL33" s="43">
        <v>10488</v>
      </c>
      <c r="AM33" s="44">
        <v>16808</v>
      </c>
      <c r="AN33" s="43">
        <v>294841</v>
      </c>
      <c r="AO33" s="37">
        <v>0</v>
      </c>
      <c r="AP33" s="43">
        <v>207010</v>
      </c>
      <c r="AQ33" s="43">
        <v>334450</v>
      </c>
      <c r="AR33" s="43">
        <v>201949</v>
      </c>
      <c r="AS33" s="43">
        <v>10961</v>
      </c>
      <c r="AT33" s="37">
        <v>0</v>
      </c>
      <c r="AU33" s="43">
        <v>810590</v>
      </c>
      <c r="AV33" s="43">
        <v>124295</v>
      </c>
      <c r="AW33" s="43">
        <v>56527</v>
      </c>
      <c r="AX33" s="43">
        <v>93326</v>
      </c>
      <c r="AY33" s="43">
        <v>764568</v>
      </c>
      <c r="AZ33" s="37">
        <v>0</v>
      </c>
      <c r="BA33" s="37">
        <v>0</v>
      </c>
      <c r="BB33" s="37">
        <v>0</v>
      </c>
      <c r="BC33" s="43">
        <v>48419</v>
      </c>
      <c r="BD33" s="43">
        <v>154339</v>
      </c>
      <c r="BE33" s="43">
        <v>109819</v>
      </c>
      <c r="BF33" s="43">
        <v>536630</v>
      </c>
      <c r="BG33" s="37">
        <v>0</v>
      </c>
      <c r="BH33" s="37">
        <v>0</v>
      </c>
      <c r="BI33" s="43">
        <v>43414</v>
      </c>
      <c r="BJ33" s="43">
        <v>32501</v>
      </c>
      <c r="BK33" s="43">
        <v>82155</v>
      </c>
      <c r="BL33" s="43">
        <v>78034</v>
      </c>
      <c r="BM33" s="43">
        <v>14859</v>
      </c>
      <c r="BN33" s="43">
        <v>85860</v>
      </c>
      <c r="BO33" s="43">
        <v>427856</v>
      </c>
      <c r="BP33" s="37">
        <v>0</v>
      </c>
      <c r="BQ33" s="43">
        <v>104775</v>
      </c>
      <c r="BR33" s="43">
        <v>10776</v>
      </c>
      <c r="BS33" s="43">
        <v>29375</v>
      </c>
      <c r="BT33" s="43">
        <v>93405</v>
      </c>
      <c r="BU33" s="43">
        <v>340873</v>
      </c>
      <c r="BV33" s="43">
        <v>123025</v>
      </c>
      <c r="BW33" s="43">
        <v>935893</v>
      </c>
      <c r="BX33" s="43">
        <v>35396</v>
      </c>
      <c r="BY33" s="43">
        <v>30263</v>
      </c>
      <c r="BZ33" s="37">
        <v>0</v>
      </c>
      <c r="CA33" s="44">
        <f t="shared" si="6"/>
        <v>16029376</v>
      </c>
    </row>
    <row r="34" spans="1:79" x14ac:dyDescent="0.25">
      <c r="A34" s="51" t="s">
        <v>142</v>
      </c>
      <c r="B34" s="51" t="s">
        <v>143</v>
      </c>
      <c r="C34" s="43">
        <v>14036</v>
      </c>
      <c r="D34" s="37">
        <v>0</v>
      </c>
      <c r="E34" s="43">
        <v>26601</v>
      </c>
      <c r="F34" s="43">
        <v>42437</v>
      </c>
      <c r="G34" s="43">
        <v>22401</v>
      </c>
      <c r="H34" s="43">
        <v>42583</v>
      </c>
      <c r="I34" s="43">
        <v>29206</v>
      </c>
      <c r="J34" s="43">
        <v>55702</v>
      </c>
      <c r="K34" s="43">
        <v>36108</v>
      </c>
      <c r="L34" s="37">
        <v>0</v>
      </c>
      <c r="M34" s="43">
        <v>7652</v>
      </c>
      <c r="N34" s="43">
        <v>26080</v>
      </c>
      <c r="O34" s="43">
        <v>149494</v>
      </c>
      <c r="P34" s="43">
        <v>9304</v>
      </c>
      <c r="Q34" s="43">
        <v>125711</v>
      </c>
      <c r="R34" s="43">
        <v>53141</v>
      </c>
      <c r="S34" s="43">
        <v>23358</v>
      </c>
      <c r="T34" s="43">
        <v>45957</v>
      </c>
      <c r="U34" s="37">
        <v>0</v>
      </c>
      <c r="V34" s="43">
        <v>31805</v>
      </c>
      <c r="W34" s="43">
        <v>145809</v>
      </c>
      <c r="X34" s="43">
        <v>13027</v>
      </c>
      <c r="Y34" s="43">
        <v>9213</v>
      </c>
      <c r="Z34" s="43">
        <v>6289</v>
      </c>
      <c r="AA34" s="43">
        <v>18492</v>
      </c>
      <c r="AB34" s="43">
        <v>35223</v>
      </c>
      <c r="AC34" s="43">
        <v>28418</v>
      </c>
      <c r="AD34" s="43">
        <v>24154</v>
      </c>
      <c r="AE34" s="43">
        <v>15791</v>
      </c>
      <c r="AF34" s="43">
        <v>21118</v>
      </c>
      <c r="AG34" s="43">
        <v>8366</v>
      </c>
      <c r="AH34" s="43">
        <v>79297</v>
      </c>
      <c r="AI34" s="43">
        <v>424932</v>
      </c>
      <c r="AJ34" s="43">
        <v>16853</v>
      </c>
      <c r="AK34" s="43">
        <v>5107</v>
      </c>
      <c r="AL34" s="43">
        <v>20153</v>
      </c>
      <c r="AM34" s="44">
        <v>23095</v>
      </c>
      <c r="AN34" s="43">
        <v>356007</v>
      </c>
      <c r="AO34" s="37">
        <v>0</v>
      </c>
      <c r="AP34" s="43">
        <v>40316</v>
      </c>
      <c r="AQ34" s="43">
        <v>58635</v>
      </c>
      <c r="AR34" s="43">
        <v>53794</v>
      </c>
      <c r="AS34" s="43">
        <v>49964</v>
      </c>
      <c r="AT34" s="43">
        <v>14017</v>
      </c>
      <c r="AU34" s="43">
        <v>161689</v>
      </c>
      <c r="AV34" s="43">
        <v>11865</v>
      </c>
      <c r="AW34" s="43">
        <v>13299</v>
      </c>
      <c r="AX34" s="43">
        <v>26692</v>
      </c>
      <c r="AY34" s="43">
        <v>80046</v>
      </c>
      <c r="AZ34" s="43">
        <v>10897</v>
      </c>
      <c r="BA34" s="43">
        <v>11262</v>
      </c>
      <c r="BB34" s="43">
        <v>59499</v>
      </c>
      <c r="BC34" s="43">
        <v>105901</v>
      </c>
      <c r="BD34" s="43">
        <v>44460</v>
      </c>
      <c r="BE34" s="43">
        <v>67816</v>
      </c>
      <c r="BF34" s="43">
        <v>92469</v>
      </c>
      <c r="BG34" s="43">
        <v>25029</v>
      </c>
      <c r="BH34" s="43">
        <v>20069</v>
      </c>
      <c r="BI34" s="43">
        <v>26612</v>
      </c>
      <c r="BJ34" s="43">
        <v>26680</v>
      </c>
      <c r="BK34" s="43">
        <v>59154</v>
      </c>
      <c r="BL34" s="43">
        <v>13712</v>
      </c>
      <c r="BM34" s="43">
        <v>10291</v>
      </c>
      <c r="BN34" s="43">
        <v>19481</v>
      </c>
      <c r="BO34" s="43">
        <v>39311</v>
      </c>
      <c r="BP34" s="43">
        <v>159895</v>
      </c>
      <c r="BQ34" s="43">
        <v>29390</v>
      </c>
      <c r="BR34" s="43">
        <v>35897</v>
      </c>
      <c r="BS34" s="43">
        <v>13322</v>
      </c>
      <c r="BT34" s="43">
        <v>22930</v>
      </c>
      <c r="BU34" s="43">
        <v>8177</v>
      </c>
      <c r="BV34" s="43">
        <v>27522</v>
      </c>
      <c r="BW34" s="43">
        <v>20657</v>
      </c>
      <c r="BX34" s="43">
        <v>15430</v>
      </c>
      <c r="BY34" s="43">
        <v>5397</v>
      </c>
      <c r="BZ34" s="37">
        <v>0</v>
      </c>
      <c r="CA34" s="44">
        <f t="shared" si="6"/>
        <v>3474497</v>
      </c>
    </row>
    <row r="35" spans="1:79" x14ac:dyDescent="0.25">
      <c r="A35" s="51" t="s">
        <v>144</v>
      </c>
      <c r="B35" s="51" t="s">
        <v>145</v>
      </c>
      <c r="C35" s="37">
        <v>477</v>
      </c>
      <c r="D35" s="37">
        <v>46</v>
      </c>
      <c r="E35" s="37">
        <v>0</v>
      </c>
      <c r="F35" s="43">
        <v>2662</v>
      </c>
      <c r="G35" s="37">
        <v>533</v>
      </c>
      <c r="H35" s="43">
        <v>1235</v>
      </c>
      <c r="I35" s="37">
        <v>273</v>
      </c>
      <c r="J35" s="43">
        <v>1323</v>
      </c>
      <c r="K35" s="43">
        <v>2761</v>
      </c>
      <c r="L35" s="37">
        <v>0</v>
      </c>
      <c r="M35" s="37">
        <v>271</v>
      </c>
      <c r="N35" s="43">
        <v>2277</v>
      </c>
      <c r="O35" s="43">
        <v>1066</v>
      </c>
      <c r="P35" s="37">
        <v>372</v>
      </c>
      <c r="Q35" s="43">
        <v>4752</v>
      </c>
      <c r="R35" s="43">
        <v>1551</v>
      </c>
      <c r="S35" s="37">
        <v>7</v>
      </c>
      <c r="T35" s="37">
        <v>975</v>
      </c>
      <c r="U35" s="37">
        <v>0</v>
      </c>
      <c r="V35" s="43">
        <v>1540</v>
      </c>
      <c r="W35" s="37">
        <v>130</v>
      </c>
      <c r="X35" s="37">
        <v>0</v>
      </c>
      <c r="Y35" s="37">
        <v>8</v>
      </c>
      <c r="Z35" s="37">
        <v>431</v>
      </c>
      <c r="AA35" s="43">
        <v>1234</v>
      </c>
      <c r="AB35" s="43">
        <v>2007</v>
      </c>
      <c r="AC35" s="37">
        <v>240</v>
      </c>
      <c r="AD35" s="43">
        <v>1567</v>
      </c>
      <c r="AE35" s="37">
        <v>154</v>
      </c>
      <c r="AF35" s="37">
        <v>436</v>
      </c>
      <c r="AG35" s="37">
        <v>178</v>
      </c>
      <c r="AH35" s="43">
        <v>1687</v>
      </c>
      <c r="AI35" s="43">
        <v>16315</v>
      </c>
      <c r="AJ35" s="37">
        <v>231</v>
      </c>
      <c r="AK35" s="37">
        <v>117</v>
      </c>
      <c r="AL35" s="37">
        <v>164</v>
      </c>
      <c r="AM35" s="44">
        <v>593</v>
      </c>
      <c r="AN35" s="43">
        <v>2839</v>
      </c>
      <c r="AO35" s="37">
        <v>0</v>
      </c>
      <c r="AP35" s="43">
        <v>2459</v>
      </c>
      <c r="AQ35" s="43">
        <v>19449</v>
      </c>
      <c r="AR35" s="37">
        <v>566</v>
      </c>
      <c r="AS35" s="37">
        <v>0</v>
      </c>
      <c r="AT35" s="43">
        <v>4651</v>
      </c>
      <c r="AU35" s="43">
        <v>16760</v>
      </c>
      <c r="AV35" s="37">
        <v>208</v>
      </c>
      <c r="AW35" s="37">
        <v>0</v>
      </c>
      <c r="AX35" s="37">
        <v>206</v>
      </c>
      <c r="AY35" s="37">
        <v>929</v>
      </c>
      <c r="AZ35" s="37">
        <v>242</v>
      </c>
      <c r="BA35" s="37">
        <v>21</v>
      </c>
      <c r="BB35" s="37">
        <v>0</v>
      </c>
      <c r="BC35" s="43">
        <v>4559</v>
      </c>
      <c r="BD35" s="43">
        <v>7322</v>
      </c>
      <c r="BE35" s="43">
        <v>1656</v>
      </c>
      <c r="BF35" s="43">
        <v>2516</v>
      </c>
      <c r="BG35" s="37">
        <v>0</v>
      </c>
      <c r="BH35" s="37">
        <v>0</v>
      </c>
      <c r="BI35" s="43">
        <v>2789</v>
      </c>
      <c r="BJ35" s="37">
        <v>465</v>
      </c>
      <c r="BK35" s="37">
        <v>107</v>
      </c>
      <c r="BL35" s="37">
        <v>0</v>
      </c>
      <c r="BM35" s="37">
        <v>84</v>
      </c>
      <c r="BN35" s="43">
        <v>33244</v>
      </c>
      <c r="BO35" s="37">
        <v>559</v>
      </c>
      <c r="BP35" s="37">
        <v>0</v>
      </c>
      <c r="BQ35" s="43">
        <v>2049</v>
      </c>
      <c r="BR35" s="37">
        <v>0</v>
      </c>
      <c r="BS35" s="43">
        <v>2635</v>
      </c>
      <c r="BT35" s="37">
        <v>465</v>
      </c>
      <c r="BU35" s="43">
        <v>1392</v>
      </c>
      <c r="BV35" s="43">
        <v>1602</v>
      </c>
      <c r="BW35" s="37">
        <v>656</v>
      </c>
      <c r="BX35" s="37">
        <v>20</v>
      </c>
      <c r="BY35" s="37">
        <v>77</v>
      </c>
      <c r="BZ35" s="37">
        <v>0</v>
      </c>
      <c r="CA35" s="44">
        <f t="shared" si="6"/>
        <v>158140</v>
      </c>
    </row>
    <row r="36" spans="1:79" x14ac:dyDescent="0.25">
      <c r="A36" s="51" t="s">
        <v>146</v>
      </c>
      <c r="B36" s="51" t="s">
        <v>147</v>
      </c>
      <c r="C36" s="43">
        <v>2427</v>
      </c>
      <c r="D36" s="37">
        <v>0</v>
      </c>
      <c r="E36" s="37">
        <v>0</v>
      </c>
      <c r="F36" s="43">
        <v>31788</v>
      </c>
      <c r="G36" s="43">
        <v>10288</v>
      </c>
      <c r="H36" s="43">
        <v>7398</v>
      </c>
      <c r="I36" s="43">
        <v>3234</v>
      </c>
      <c r="J36" s="43">
        <v>182691</v>
      </c>
      <c r="K36" s="43">
        <v>16733</v>
      </c>
      <c r="L36" s="37">
        <v>0</v>
      </c>
      <c r="M36" s="43">
        <v>4584</v>
      </c>
      <c r="N36" s="43">
        <v>33190</v>
      </c>
      <c r="O36" s="43">
        <v>18584</v>
      </c>
      <c r="P36" s="37">
        <v>783</v>
      </c>
      <c r="Q36" s="43">
        <v>28244</v>
      </c>
      <c r="R36" s="43">
        <v>44500</v>
      </c>
      <c r="S36" s="37">
        <v>2</v>
      </c>
      <c r="T36" s="37">
        <v>820</v>
      </c>
      <c r="U36" s="37">
        <v>0</v>
      </c>
      <c r="V36" s="43">
        <v>1586</v>
      </c>
      <c r="W36" s="43">
        <v>1590</v>
      </c>
      <c r="X36" s="43">
        <v>6658</v>
      </c>
      <c r="Y36" s="43">
        <v>10647</v>
      </c>
      <c r="Z36" s="43">
        <v>16567</v>
      </c>
      <c r="AA36" s="43">
        <v>4529</v>
      </c>
      <c r="AB36" s="43">
        <v>56478</v>
      </c>
      <c r="AC36" s="43">
        <v>10348</v>
      </c>
      <c r="AD36" s="43">
        <v>27592</v>
      </c>
      <c r="AE36" s="43">
        <v>4557</v>
      </c>
      <c r="AF36" s="43">
        <v>3310</v>
      </c>
      <c r="AG36" s="43">
        <v>2718</v>
      </c>
      <c r="AH36" s="43">
        <v>16791</v>
      </c>
      <c r="AI36" s="43">
        <v>369158</v>
      </c>
      <c r="AJ36" s="43">
        <v>51108</v>
      </c>
      <c r="AK36" s="43">
        <v>2225</v>
      </c>
      <c r="AL36" s="43">
        <v>7245</v>
      </c>
      <c r="AM36" s="44">
        <v>11527</v>
      </c>
      <c r="AN36" s="43">
        <v>14574</v>
      </c>
      <c r="AO36" s="37">
        <v>0</v>
      </c>
      <c r="AP36" s="43">
        <v>9039</v>
      </c>
      <c r="AQ36" s="43">
        <v>27643</v>
      </c>
      <c r="AR36" s="37">
        <v>0</v>
      </c>
      <c r="AS36" s="43">
        <v>34093</v>
      </c>
      <c r="AT36" s="37">
        <v>0</v>
      </c>
      <c r="AU36" s="43">
        <v>115057</v>
      </c>
      <c r="AV36" s="43">
        <v>9928</v>
      </c>
      <c r="AW36" s="43">
        <v>1354</v>
      </c>
      <c r="AX36" s="37">
        <v>719</v>
      </c>
      <c r="AY36" s="43">
        <v>37073</v>
      </c>
      <c r="AZ36" s="37">
        <v>30</v>
      </c>
      <c r="BA36" s="37">
        <v>488</v>
      </c>
      <c r="BB36" s="37">
        <v>0</v>
      </c>
      <c r="BC36" s="43">
        <v>1701</v>
      </c>
      <c r="BD36" s="43">
        <v>38741</v>
      </c>
      <c r="BE36" s="43">
        <v>29272</v>
      </c>
      <c r="BF36" s="43">
        <v>25666</v>
      </c>
      <c r="BG36" s="37">
        <v>0</v>
      </c>
      <c r="BH36" s="37">
        <v>498</v>
      </c>
      <c r="BI36" s="37">
        <v>516</v>
      </c>
      <c r="BJ36" s="43">
        <v>3776</v>
      </c>
      <c r="BK36" s="43">
        <v>2720</v>
      </c>
      <c r="BL36" s="43">
        <v>4714</v>
      </c>
      <c r="BM36" s="43">
        <v>21561</v>
      </c>
      <c r="BN36" s="43">
        <v>12129</v>
      </c>
      <c r="BO36" s="43">
        <v>21245</v>
      </c>
      <c r="BP36" s="37">
        <v>0</v>
      </c>
      <c r="BQ36" s="43">
        <v>18491</v>
      </c>
      <c r="BR36" s="43">
        <v>4488</v>
      </c>
      <c r="BS36" s="43">
        <v>14799</v>
      </c>
      <c r="BT36" s="43">
        <v>3602</v>
      </c>
      <c r="BU36" s="43">
        <v>10893</v>
      </c>
      <c r="BV36" s="43">
        <v>119369</v>
      </c>
      <c r="BW36" s="43">
        <v>17855</v>
      </c>
      <c r="BX36" s="43">
        <v>1768</v>
      </c>
      <c r="BY36" s="37">
        <v>516</v>
      </c>
      <c r="BZ36" s="37">
        <v>0</v>
      </c>
      <c r="CA36" s="44">
        <f t="shared" si="6"/>
        <v>1594218</v>
      </c>
    </row>
    <row r="37" spans="1:79" x14ac:dyDescent="0.25">
      <c r="A37" s="51" t="s">
        <v>148</v>
      </c>
      <c r="B37" s="51" t="s">
        <v>149</v>
      </c>
      <c r="AM37" s="44"/>
      <c r="CA37" s="44">
        <f t="shared" si="6"/>
        <v>0</v>
      </c>
    </row>
    <row r="38" spans="1:79" x14ac:dyDescent="0.25">
      <c r="A38" s="51" t="s">
        <v>150</v>
      </c>
      <c r="B38" s="51" t="s">
        <v>151</v>
      </c>
      <c r="C38" s="43">
        <v>953736</v>
      </c>
      <c r="D38" s="43">
        <v>1009895</v>
      </c>
      <c r="E38" s="37">
        <v>0</v>
      </c>
      <c r="F38" s="43">
        <v>1389356</v>
      </c>
      <c r="G38" s="43">
        <v>225128</v>
      </c>
      <c r="H38" s="43">
        <v>112331</v>
      </c>
      <c r="I38" s="43">
        <v>297305</v>
      </c>
      <c r="J38" s="43">
        <v>548566</v>
      </c>
      <c r="K38" s="43">
        <v>4937</v>
      </c>
      <c r="L38" s="43">
        <v>112994</v>
      </c>
      <c r="M38" s="43">
        <v>41130</v>
      </c>
      <c r="N38" s="37">
        <v>0</v>
      </c>
      <c r="O38" s="43">
        <v>787679</v>
      </c>
      <c r="P38" s="43">
        <v>61822</v>
      </c>
      <c r="Q38" s="43">
        <v>2909204</v>
      </c>
      <c r="R38" s="43">
        <v>4807</v>
      </c>
      <c r="S38" s="37">
        <v>0</v>
      </c>
      <c r="T38" s="37">
        <v>0</v>
      </c>
      <c r="U38" s="37">
        <v>0</v>
      </c>
      <c r="V38" s="43">
        <v>241552</v>
      </c>
      <c r="W38" s="37">
        <v>0</v>
      </c>
      <c r="X38" s="43">
        <v>91908</v>
      </c>
      <c r="Y38" s="43">
        <v>220592</v>
      </c>
      <c r="Z38" s="43">
        <v>624761</v>
      </c>
      <c r="AA38" s="37">
        <v>0</v>
      </c>
      <c r="AB38" s="37">
        <v>0</v>
      </c>
      <c r="AC38" s="43">
        <v>71041</v>
      </c>
      <c r="AD38" s="37">
        <v>0</v>
      </c>
      <c r="AE38" s="37">
        <v>0</v>
      </c>
      <c r="AF38" s="43">
        <v>161448</v>
      </c>
      <c r="AG38" s="43">
        <v>235100</v>
      </c>
      <c r="AH38" s="43">
        <v>425735</v>
      </c>
      <c r="AI38" s="43">
        <v>2379371</v>
      </c>
      <c r="AJ38" s="43">
        <v>327089</v>
      </c>
      <c r="AK38" s="43">
        <v>48436</v>
      </c>
      <c r="AL38" s="37">
        <v>0</v>
      </c>
      <c r="AM38" s="44">
        <v>105187</v>
      </c>
      <c r="AN38" s="43">
        <v>1377198</v>
      </c>
      <c r="AO38" s="37">
        <v>0</v>
      </c>
      <c r="AP38" s="43">
        <v>288184</v>
      </c>
      <c r="AQ38" s="43">
        <v>613966</v>
      </c>
      <c r="AR38" s="43">
        <v>111909</v>
      </c>
      <c r="AS38" s="43">
        <v>246315</v>
      </c>
      <c r="AT38" s="43">
        <v>84510</v>
      </c>
      <c r="AU38" s="43">
        <v>2826667</v>
      </c>
      <c r="AV38" s="43">
        <v>106832</v>
      </c>
      <c r="AW38" s="37">
        <v>0</v>
      </c>
      <c r="AX38" s="37">
        <v>0</v>
      </c>
      <c r="AY38" s="37">
        <v>0</v>
      </c>
      <c r="AZ38" s="37">
        <v>0</v>
      </c>
      <c r="BA38" s="43">
        <v>317778</v>
      </c>
      <c r="BB38" s="43">
        <v>158030</v>
      </c>
      <c r="BC38" s="43">
        <v>329099</v>
      </c>
      <c r="BD38" s="43">
        <v>708612</v>
      </c>
      <c r="BE38" s="43">
        <v>421998</v>
      </c>
      <c r="BF38" s="43">
        <v>1210199</v>
      </c>
      <c r="BG38" s="43">
        <v>592485</v>
      </c>
      <c r="BH38" s="43">
        <v>591925</v>
      </c>
      <c r="BI38" s="37">
        <v>0</v>
      </c>
      <c r="BJ38" s="43">
        <v>188791</v>
      </c>
      <c r="BK38" s="43">
        <v>313447</v>
      </c>
      <c r="BL38" s="43">
        <v>98621</v>
      </c>
      <c r="BM38" s="43">
        <v>101341</v>
      </c>
      <c r="BN38" s="43">
        <v>196579</v>
      </c>
      <c r="BO38" s="43">
        <v>590892</v>
      </c>
      <c r="BP38" s="43">
        <v>174623</v>
      </c>
      <c r="BQ38" s="43">
        <v>387406</v>
      </c>
      <c r="BR38" s="43">
        <v>188639</v>
      </c>
      <c r="BS38" s="43">
        <v>154151</v>
      </c>
      <c r="BT38" s="43">
        <v>89163</v>
      </c>
      <c r="BU38" s="37">
        <v>0</v>
      </c>
      <c r="BV38" s="43">
        <v>636510</v>
      </c>
      <c r="BW38" s="43">
        <v>937018</v>
      </c>
      <c r="BX38" s="43">
        <v>349058</v>
      </c>
      <c r="BY38" s="43">
        <v>132495</v>
      </c>
      <c r="BZ38" s="37">
        <v>0</v>
      </c>
      <c r="CA38" s="44">
        <f t="shared" si="6"/>
        <v>27915551</v>
      </c>
    </row>
    <row r="39" spans="1:79" x14ac:dyDescent="0.25">
      <c r="A39" s="51" t="s">
        <v>152</v>
      </c>
      <c r="B39" s="51" t="s">
        <v>153</v>
      </c>
      <c r="C39" s="43">
        <v>21438</v>
      </c>
      <c r="D39" s="43">
        <v>10855</v>
      </c>
      <c r="E39" s="37">
        <v>0</v>
      </c>
      <c r="F39" s="43">
        <v>112566</v>
      </c>
      <c r="G39" s="43">
        <v>71184</v>
      </c>
      <c r="H39" s="43">
        <v>44408</v>
      </c>
      <c r="I39" s="37">
        <v>210</v>
      </c>
      <c r="J39" s="43">
        <v>1083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43">
        <v>398800</v>
      </c>
      <c r="R39" s="43">
        <v>17940</v>
      </c>
      <c r="S39" s="37">
        <v>0</v>
      </c>
      <c r="T39" s="37">
        <v>0</v>
      </c>
      <c r="U39" s="37">
        <v>0</v>
      </c>
      <c r="V39" s="43">
        <v>3430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43">
        <v>721314</v>
      </c>
      <c r="AH39" s="43">
        <v>12222</v>
      </c>
      <c r="AI39" s="43">
        <v>164258</v>
      </c>
      <c r="AJ39" s="43">
        <v>1261</v>
      </c>
      <c r="AK39" s="37">
        <v>0</v>
      </c>
      <c r="AL39" s="37">
        <v>0</v>
      </c>
      <c r="AM39" s="44">
        <v>0</v>
      </c>
      <c r="AN39" s="43">
        <v>27137</v>
      </c>
      <c r="AO39" s="37">
        <v>0</v>
      </c>
      <c r="AP39" s="37">
        <v>0</v>
      </c>
      <c r="AQ39" s="43">
        <v>1703696</v>
      </c>
      <c r="AR39" s="43">
        <v>292950</v>
      </c>
      <c r="AS39" s="43">
        <v>1080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43">
        <v>11261</v>
      </c>
      <c r="BD39" s="43">
        <v>2478538</v>
      </c>
      <c r="BE39" s="43">
        <v>1703</v>
      </c>
      <c r="BF39" s="43">
        <v>62077</v>
      </c>
      <c r="BG39" s="37">
        <v>0</v>
      </c>
      <c r="BH39" s="43">
        <v>2516</v>
      </c>
      <c r="BI39" s="37">
        <v>0</v>
      </c>
      <c r="BJ39" s="43">
        <v>34308</v>
      </c>
      <c r="BK39" s="37">
        <v>0</v>
      </c>
      <c r="BL39" s="43">
        <v>21530</v>
      </c>
      <c r="BM39" s="37">
        <v>495</v>
      </c>
      <c r="BN39" s="43">
        <v>37083</v>
      </c>
      <c r="BO39" s="43">
        <v>560198</v>
      </c>
      <c r="BP39" s="37">
        <v>765</v>
      </c>
      <c r="BQ39" s="43">
        <v>9139</v>
      </c>
      <c r="BR39" s="43">
        <v>222531</v>
      </c>
      <c r="BS39" s="43">
        <v>71114</v>
      </c>
      <c r="BT39" s="43">
        <v>18472</v>
      </c>
      <c r="BU39" s="43">
        <v>6221</v>
      </c>
      <c r="BV39" s="37">
        <v>0</v>
      </c>
      <c r="BW39" s="37">
        <v>0</v>
      </c>
      <c r="BX39" s="43">
        <v>58586</v>
      </c>
      <c r="BY39" s="37">
        <v>0</v>
      </c>
      <c r="BZ39" s="43">
        <v>13424</v>
      </c>
      <c r="CA39" s="44">
        <f t="shared" si="6"/>
        <v>7215793</v>
      </c>
    </row>
    <row r="40" spans="1:79" x14ac:dyDescent="0.25">
      <c r="A40" s="51" t="s">
        <v>154</v>
      </c>
      <c r="B40" s="51" t="s">
        <v>155</v>
      </c>
      <c r="C40" s="43">
        <v>655412</v>
      </c>
      <c r="D40" s="43">
        <v>114493</v>
      </c>
      <c r="E40" s="43">
        <v>2198</v>
      </c>
      <c r="F40" s="43">
        <v>1200663</v>
      </c>
      <c r="G40" s="43">
        <v>89248</v>
      </c>
      <c r="H40" s="43">
        <v>59042</v>
      </c>
      <c r="I40" s="43">
        <v>15596</v>
      </c>
      <c r="J40" s="43">
        <v>766319</v>
      </c>
      <c r="K40" s="37">
        <v>0</v>
      </c>
      <c r="L40" s="37">
        <v>480</v>
      </c>
      <c r="M40" s="37">
        <v>0</v>
      </c>
      <c r="N40" s="43">
        <v>451838</v>
      </c>
      <c r="O40" s="37">
        <v>0</v>
      </c>
      <c r="P40" s="37">
        <v>0</v>
      </c>
      <c r="Q40" s="43">
        <v>71211</v>
      </c>
      <c r="R40" s="43">
        <v>337848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43">
        <v>3375</v>
      </c>
      <c r="Y40" s="37">
        <v>0</v>
      </c>
      <c r="Z40" s="37">
        <v>0</v>
      </c>
      <c r="AA40" s="37">
        <v>0</v>
      </c>
      <c r="AB40" s="43">
        <v>345644</v>
      </c>
      <c r="AC40" s="43">
        <v>130213</v>
      </c>
      <c r="AD40" s="37">
        <v>0</v>
      </c>
      <c r="AE40" s="43">
        <v>72056</v>
      </c>
      <c r="AF40" s="43">
        <v>53678</v>
      </c>
      <c r="AG40" s="43">
        <v>417850</v>
      </c>
      <c r="AH40" s="43">
        <v>20202</v>
      </c>
      <c r="AI40" s="43">
        <v>341190</v>
      </c>
      <c r="AJ40" s="43">
        <v>8290</v>
      </c>
      <c r="AK40" s="43">
        <v>10428</v>
      </c>
      <c r="AL40" s="37">
        <v>0</v>
      </c>
      <c r="AM40" s="44">
        <v>8675</v>
      </c>
      <c r="AN40" s="43">
        <v>80149</v>
      </c>
      <c r="AO40" s="37">
        <v>0</v>
      </c>
      <c r="AP40" s="43">
        <v>145342</v>
      </c>
      <c r="AQ40" s="43">
        <v>1592669</v>
      </c>
      <c r="AR40" s="43">
        <v>8679</v>
      </c>
      <c r="AS40" s="43">
        <v>81233</v>
      </c>
      <c r="AT40" s="37">
        <v>0</v>
      </c>
      <c r="AU40" s="43">
        <v>4891880</v>
      </c>
      <c r="AV40" s="37">
        <v>0</v>
      </c>
      <c r="AW40" s="37">
        <v>0</v>
      </c>
      <c r="AX40" s="43">
        <v>43499</v>
      </c>
      <c r="AY40" s="37">
        <v>0</v>
      </c>
      <c r="AZ40" s="37">
        <v>0</v>
      </c>
      <c r="BA40" s="43">
        <v>6198</v>
      </c>
      <c r="BB40" s="43">
        <v>88777</v>
      </c>
      <c r="BC40" s="43">
        <v>88363</v>
      </c>
      <c r="BD40" s="43">
        <v>39536</v>
      </c>
      <c r="BE40" s="43">
        <v>131753</v>
      </c>
      <c r="BF40" s="43">
        <v>683287</v>
      </c>
      <c r="BG40" s="43">
        <v>33815</v>
      </c>
      <c r="BH40" s="43">
        <v>84304</v>
      </c>
      <c r="BI40" s="37">
        <v>0</v>
      </c>
      <c r="BJ40" s="43">
        <v>12829</v>
      </c>
      <c r="BK40" s="43">
        <v>157224</v>
      </c>
      <c r="BL40" s="43">
        <v>2887</v>
      </c>
      <c r="BM40" s="43">
        <v>9091</v>
      </c>
      <c r="BN40" s="43">
        <v>26970</v>
      </c>
      <c r="BO40" s="43">
        <v>44293</v>
      </c>
      <c r="BP40" s="43">
        <v>216739</v>
      </c>
      <c r="BQ40" s="43">
        <v>170834</v>
      </c>
      <c r="BR40" s="43">
        <v>9692</v>
      </c>
      <c r="BS40" s="43">
        <v>94366</v>
      </c>
      <c r="BT40" s="43">
        <v>67487</v>
      </c>
      <c r="BU40" s="37">
        <v>0</v>
      </c>
      <c r="BV40" s="43">
        <v>102462</v>
      </c>
      <c r="BW40" s="43">
        <v>64827</v>
      </c>
      <c r="BX40" s="43">
        <v>122123</v>
      </c>
      <c r="BY40" s="43">
        <v>51433</v>
      </c>
      <c r="BZ40" s="43">
        <v>2568</v>
      </c>
      <c r="CA40" s="44">
        <f t="shared" si="6"/>
        <v>14331258</v>
      </c>
    </row>
    <row r="41" spans="1:79" x14ac:dyDescent="0.25">
      <c r="A41" s="51" t="s">
        <v>156</v>
      </c>
      <c r="B41" s="51" t="s">
        <v>157</v>
      </c>
      <c r="C41" s="43">
        <v>559740</v>
      </c>
      <c r="D41" s="43">
        <v>1338558</v>
      </c>
      <c r="E41" s="43">
        <v>1629</v>
      </c>
      <c r="F41" s="43">
        <v>533347</v>
      </c>
      <c r="G41" s="43">
        <v>231948</v>
      </c>
      <c r="H41" s="43">
        <v>131933</v>
      </c>
      <c r="I41" s="43">
        <v>123003</v>
      </c>
      <c r="J41" s="43">
        <v>719982</v>
      </c>
      <c r="K41" s="43">
        <v>53126</v>
      </c>
      <c r="L41" s="37">
        <v>25</v>
      </c>
      <c r="M41" s="37">
        <v>0</v>
      </c>
      <c r="N41" s="43">
        <v>9289</v>
      </c>
      <c r="O41" s="43">
        <v>351919</v>
      </c>
      <c r="P41" s="37">
        <v>0</v>
      </c>
      <c r="Q41" s="43">
        <v>3518355</v>
      </c>
      <c r="R41" s="43">
        <v>701826</v>
      </c>
      <c r="S41" s="43">
        <v>1121392</v>
      </c>
      <c r="T41" s="37">
        <v>0</v>
      </c>
      <c r="U41" s="37">
        <v>0</v>
      </c>
      <c r="V41" s="43">
        <v>11380</v>
      </c>
      <c r="W41" s="37">
        <v>0</v>
      </c>
      <c r="X41" s="37">
        <v>0</v>
      </c>
      <c r="Y41" s="37">
        <v>0</v>
      </c>
      <c r="Z41" s="43">
        <v>391921</v>
      </c>
      <c r="AA41" s="43">
        <v>14658</v>
      </c>
      <c r="AB41" s="43">
        <v>245174</v>
      </c>
      <c r="AC41" s="43">
        <v>3606</v>
      </c>
      <c r="AD41" s="37">
        <v>0</v>
      </c>
      <c r="AE41" s="43">
        <v>94945</v>
      </c>
      <c r="AF41" s="43">
        <v>8496</v>
      </c>
      <c r="AG41" s="43">
        <v>17520</v>
      </c>
      <c r="AH41" s="43">
        <v>47788</v>
      </c>
      <c r="AI41" s="43">
        <v>390510</v>
      </c>
      <c r="AJ41" s="43">
        <v>45361</v>
      </c>
      <c r="AK41" s="43">
        <v>2732</v>
      </c>
      <c r="AL41" s="37">
        <v>0</v>
      </c>
      <c r="AM41" s="44">
        <v>77011</v>
      </c>
      <c r="AN41" s="43">
        <v>2141920</v>
      </c>
      <c r="AO41" s="37">
        <v>0</v>
      </c>
      <c r="AP41" s="37">
        <v>0</v>
      </c>
      <c r="AQ41" s="43">
        <v>27056</v>
      </c>
      <c r="AR41" s="43">
        <v>77635</v>
      </c>
      <c r="AS41" s="43">
        <v>18256</v>
      </c>
      <c r="AT41" s="37">
        <v>0</v>
      </c>
      <c r="AU41" s="43">
        <v>728004</v>
      </c>
      <c r="AV41" s="43">
        <v>53074</v>
      </c>
      <c r="AW41" s="37">
        <v>0</v>
      </c>
      <c r="AX41" s="43">
        <v>53377</v>
      </c>
      <c r="AY41" s="43">
        <v>7015</v>
      </c>
      <c r="AZ41" s="37">
        <v>0</v>
      </c>
      <c r="BA41" s="43">
        <v>2942</v>
      </c>
      <c r="BB41" s="43">
        <v>11808</v>
      </c>
      <c r="BC41" s="43">
        <v>306059</v>
      </c>
      <c r="BD41" s="43">
        <v>451191</v>
      </c>
      <c r="BE41" s="43">
        <v>28173</v>
      </c>
      <c r="BF41" s="43">
        <v>1707074</v>
      </c>
      <c r="BG41" s="43">
        <v>27572</v>
      </c>
      <c r="BH41" s="43">
        <v>968623</v>
      </c>
      <c r="BI41" s="37">
        <v>0</v>
      </c>
      <c r="BJ41" s="43">
        <v>343195</v>
      </c>
      <c r="BK41" s="43">
        <v>378436</v>
      </c>
      <c r="BL41" s="43">
        <v>63201</v>
      </c>
      <c r="BM41" s="43">
        <v>42896</v>
      </c>
      <c r="BN41" s="43">
        <v>500656</v>
      </c>
      <c r="BO41" s="43">
        <v>359698</v>
      </c>
      <c r="BP41" s="43">
        <v>98359</v>
      </c>
      <c r="BQ41" s="43">
        <v>206453</v>
      </c>
      <c r="BR41" s="43">
        <v>24207</v>
      </c>
      <c r="BS41" s="43">
        <v>13436</v>
      </c>
      <c r="BT41" s="43">
        <v>82738</v>
      </c>
      <c r="BU41" s="43">
        <v>89062</v>
      </c>
      <c r="BV41" s="43">
        <v>128227</v>
      </c>
      <c r="BW41" s="43">
        <v>868276</v>
      </c>
      <c r="BX41" s="43">
        <v>564136</v>
      </c>
      <c r="BY41" s="43">
        <v>1065588</v>
      </c>
      <c r="BZ41" s="43">
        <v>178988</v>
      </c>
      <c r="CA41" s="44">
        <f t="shared" si="6"/>
        <v>22364505</v>
      </c>
    </row>
    <row r="42" spans="1:79" x14ac:dyDescent="0.25">
      <c r="A42" s="51" t="s">
        <v>158</v>
      </c>
      <c r="B42" s="51" t="s">
        <v>159</v>
      </c>
      <c r="C42" s="43">
        <v>410898</v>
      </c>
      <c r="D42" s="43">
        <v>2255109</v>
      </c>
      <c r="E42" s="43">
        <v>109616</v>
      </c>
      <c r="F42" s="43">
        <v>560357</v>
      </c>
      <c r="G42" s="43">
        <v>232360</v>
      </c>
      <c r="H42" s="43">
        <v>394841</v>
      </c>
      <c r="I42" s="43">
        <v>983871</v>
      </c>
      <c r="J42" s="43">
        <v>692965</v>
      </c>
      <c r="K42" s="43">
        <v>313622</v>
      </c>
      <c r="L42" s="43">
        <v>245142</v>
      </c>
      <c r="M42" s="43">
        <v>271979</v>
      </c>
      <c r="N42" s="43">
        <v>322326</v>
      </c>
      <c r="O42" s="43">
        <v>3937129</v>
      </c>
      <c r="P42" s="43">
        <v>47777</v>
      </c>
      <c r="Q42" s="43">
        <v>4133184</v>
      </c>
      <c r="R42" s="43">
        <v>377111</v>
      </c>
      <c r="S42" s="43">
        <v>53118</v>
      </c>
      <c r="T42" s="43">
        <v>1910368</v>
      </c>
      <c r="U42" s="37">
        <v>0</v>
      </c>
      <c r="V42" s="43">
        <v>553629</v>
      </c>
      <c r="W42" s="43">
        <v>2184922</v>
      </c>
      <c r="X42" s="43">
        <v>448222</v>
      </c>
      <c r="Y42" s="43">
        <v>381303</v>
      </c>
      <c r="Z42" s="43">
        <v>1312089</v>
      </c>
      <c r="AA42" s="43">
        <v>635908</v>
      </c>
      <c r="AB42" s="43">
        <v>2691362</v>
      </c>
      <c r="AC42" s="43">
        <v>95903</v>
      </c>
      <c r="AD42" s="43">
        <v>2075867</v>
      </c>
      <c r="AE42" s="43">
        <v>246193</v>
      </c>
      <c r="AF42" s="43">
        <v>452566</v>
      </c>
      <c r="AG42" s="37">
        <v>0</v>
      </c>
      <c r="AH42" s="43">
        <v>825283</v>
      </c>
      <c r="AI42" s="43">
        <v>20224378</v>
      </c>
      <c r="AJ42" s="43">
        <v>1784261</v>
      </c>
      <c r="AK42" s="43">
        <v>138112</v>
      </c>
      <c r="AL42" s="43">
        <v>574589</v>
      </c>
      <c r="AM42" s="44">
        <v>520149</v>
      </c>
      <c r="AN42" s="43">
        <v>5999986</v>
      </c>
      <c r="AO42" s="37">
        <v>0</v>
      </c>
      <c r="AP42" s="43">
        <v>780733</v>
      </c>
      <c r="AQ42" s="43">
        <v>8178</v>
      </c>
      <c r="AR42" s="43">
        <v>501578</v>
      </c>
      <c r="AS42" s="43">
        <v>210061</v>
      </c>
      <c r="AT42" s="43">
        <v>199178</v>
      </c>
      <c r="AU42" s="43">
        <v>15300</v>
      </c>
      <c r="AV42" s="43">
        <v>1813870</v>
      </c>
      <c r="AW42" s="43">
        <v>484680</v>
      </c>
      <c r="AX42" s="43">
        <v>370571</v>
      </c>
      <c r="AY42" s="43">
        <v>4503504</v>
      </c>
      <c r="AZ42" s="43">
        <v>139446</v>
      </c>
      <c r="BA42" s="43">
        <v>810131</v>
      </c>
      <c r="BB42" s="43">
        <v>231247</v>
      </c>
      <c r="BC42" s="43">
        <v>197361</v>
      </c>
      <c r="BD42" s="43">
        <v>1117690</v>
      </c>
      <c r="BE42" s="43">
        <v>420003</v>
      </c>
      <c r="BF42" s="43">
        <v>1118303</v>
      </c>
      <c r="BG42" s="43">
        <v>2272165</v>
      </c>
      <c r="BH42" s="43">
        <v>11161844</v>
      </c>
      <c r="BI42" s="43">
        <v>1719274</v>
      </c>
      <c r="BJ42" s="43">
        <v>604176</v>
      </c>
      <c r="BK42" s="43">
        <v>2568218</v>
      </c>
      <c r="BL42" s="43">
        <v>536612</v>
      </c>
      <c r="BM42" s="43">
        <v>690923</v>
      </c>
      <c r="BN42" s="43">
        <v>1905716</v>
      </c>
      <c r="BO42" s="43">
        <v>1350688</v>
      </c>
      <c r="BP42" s="43">
        <v>748215</v>
      </c>
      <c r="BQ42" s="43">
        <v>943102</v>
      </c>
      <c r="BR42" s="37">
        <v>0</v>
      </c>
      <c r="BS42" s="43">
        <v>445972</v>
      </c>
      <c r="BT42" s="43">
        <v>1236611</v>
      </c>
      <c r="BU42" s="43">
        <v>1631644</v>
      </c>
      <c r="BV42" s="43">
        <v>2031525</v>
      </c>
      <c r="BW42" s="43">
        <v>2520131</v>
      </c>
      <c r="BX42" s="43">
        <v>4773041</v>
      </c>
      <c r="BY42" s="43">
        <v>1897070</v>
      </c>
      <c r="BZ42" s="43">
        <v>132371</v>
      </c>
      <c r="CA42" s="44">
        <f t="shared" si="6"/>
        <v>110487627</v>
      </c>
    </row>
    <row r="43" spans="1:79" x14ac:dyDescent="0.25">
      <c r="A43" s="51" t="s">
        <v>160</v>
      </c>
      <c r="B43" s="51" t="s">
        <v>161</v>
      </c>
      <c r="AM43" s="44"/>
      <c r="CA43" s="44">
        <f t="shared" si="6"/>
        <v>0</v>
      </c>
    </row>
    <row r="44" spans="1:79" x14ac:dyDescent="0.25">
      <c r="A44" s="51" t="s">
        <v>162</v>
      </c>
      <c r="B44" s="51" t="s">
        <v>163</v>
      </c>
      <c r="C44" s="43">
        <v>5700</v>
      </c>
      <c r="D44" s="43">
        <v>12745</v>
      </c>
      <c r="E44" s="43">
        <v>1355</v>
      </c>
      <c r="F44" s="43">
        <v>61881</v>
      </c>
      <c r="G44" s="43">
        <v>1580</v>
      </c>
      <c r="H44" s="37">
        <v>0</v>
      </c>
      <c r="I44" s="43">
        <v>44135</v>
      </c>
      <c r="J44" s="37">
        <v>565</v>
      </c>
      <c r="K44" s="43">
        <v>4505</v>
      </c>
      <c r="L44" s="37">
        <v>0</v>
      </c>
      <c r="M44" s="37">
        <v>0</v>
      </c>
      <c r="N44" s="43">
        <v>167168</v>
      </c>
      <c r="O44" s="43">
        <v>97370</v>
      </c>
      <c r="P44" s="37">
        <v>0</v>
      </c>
      <c r="Q44" s="43">
        <v>545117</v>
      </c>
      <c r="R44" s="43">
        <v>1500</v>
      </c>
      <c r="S44" s="43">
        <v>5346</v>
      </c>
      <c r="T44" s="37">
        <v>360</v>
      </c>
      <c r="U44" s="37">
        <v>0</v>
      </c>
      <c r="V44" s="37">
        <v>0</v>
      </c>
      <c r="W44" s="43">
        <v>1053</v>
      </c>
      <c r="X44" s="37">
        <v>0</v>
      </c>
      <c r="Y44" s="43">
        <v>27600</v>
      </c>
      <c r="Z44" s="43">
        <v>163404</v>
      </c>
      <c r="AA44" s="37">
        <v>150</v>
      </c>
      <c r="AB44" s="43">
        <v>61055</v>
      </c>
      <c r="AC44" s="37">
        <v>30</v>
      </c>
      <c r="AD44" s="43">
        <v>14416</v>
      </c>
      <c r="AE44" s="37">
        <v>0</v>
      </c>
      <c r="AF44" s="43">
        <v>9917</v>
      </c>
      <c r="AG44" s="43">
        <v>7800</v>
      </c>
      <c r="AH44" s="43">
        <v>51406</v>
      </c>
      <c r="AI44" s="43">
        <v>75927</v>
      </c>
      <c r="AJ44" s="43">
        <v>54201</v>
      </c>
      <c r="AK44" s="37">
        <v>0</v>
      </c>
      <c r="AL44" s="37">
        <v>60</v>
      </c>
      <c r="AM44" s="44">
        <v>2462</v>
      </c>
      <c r="AN44" s="43">
        <v>232915</v>
      </c>
      <c r="AO44" s="37">
        <v>0</v>
      </c>
      <c r="AP44" s="43">
        <v>34838</v>
      </c>
      <c r="AQ44" s="43">
        <v>28411</v>
      </c>
      <c r="AR44" s="43">
        <v>13220</v>
      </c>
      <c r="AS44" s="43">
        <v>12000</v>
      </c>
      <c r="AT44" s="37">
        <v>0</v>
      </c>
      <c r="AU44" s="43">
        <v>477496</v>
      </c>
      <c r="AV44" s="43">
        <v>8820</v>
      </c>
      <c r="AW44" s="43">
        <v>27378</v>
      </c>
      <c r="AX44" s="43">
        <v>30969</v>
      </c>
      <c r="AY44" s="43">
        <v>93294</v>
      </c>
      <c r="AZ44" s="43">
        <v>3590</v>
      </c>
      <c r="BA44" s="43">
        <v>35950</v>
      </c>
      <c r="BB44" s="37">
        <v>666</v>
      </c>
      <c r="BC44" s="43">
        <v>22929</v>
      </c>
      <c r="BD44" s="43">
        <v>3924</v>
      </c>
      <c r="BE44" s="43">
        <v>18293</v>
      </c>
      <c r="BF44" s="43">
        <v>13575</v>
      </c>
      <c r="BG44" s="43">
        <v>14094</v>
      </c>
      <c r="BH44" s="43">
        <v>431783</v>
      </c>
      <c r="BI44" s="43">
        <v>1750</v>
      </c>
      <c r="BJ44" s="37">
        <v>0</v>
      </c>
      <c r="BK44" s="43">
        <v>2500</v>
      </c>
      <c r="BL44" s="37">
        <v>0</v>
      </c>
      <c r="BM44" s="37">
        <v>0</v>
      </c>
      <c r="BN44" s="43">
        <v>10578</v>
      </c>
      <c r="BO44" s="43">
        <v>18199</v>
      </c>
      <c r="BP44" s="43">
        <v>124875</v>
      </c>
      <c r="BQ44" s="43">
        <v>35286</v>
      </c>
      <c r="BR44" s="37">
        <v>0</v>
      </c>
      <c r="BS44" s="37">
        <v>0</v>
      </c>
      <c r="BT44" s="43">
        <v>1750</v>
      </c>
      <c r="BU44" s="43">
        <v>12791</v>
      </c>
      <c r="BV44" s="43">
        <v>188760</v>
      </c>
      <c r="BW44" s="43">
        <v>362579</v>
      </c>
      <c r="BX44" s="43">
        <v>244447</v>
      </c>
      <c r="BY44" s="37">
        <v>668</v>
      </c>
      <c r="BZ44" s="43">
        <v>24550</v>
      </c>
      <c r="CA44" s="44">
        <f t="shared" si="6"/>
        <v>3951686</v>
      </c>
    </row>
    <row r="45" spans="1:79" x14ac:dyDescent="0.25">
      <c r="A45" s="51" t="s">
        <v>164</v>
      </c>
      <c r="B45" s="51" t="s">
        <v>165</v>
      </c>
      <c r="C45" s="43">
        <v>6380</v>
      </c>
      <c r="D45" s="43">
        <v>230043</v>
      </c>
      <c r="E45" s="37">
        <v>0</v>
      </c>
      <c r="F45" s="37">
        <v>200</v>
      </c>
      <c r="G45" s="43">
        <v>171443</v>
      </c>
      <c r="H45" s="43">
        <v>18456</v>
      </c>
      <c r="I45" s="37">
        <v>600</v>
      </c>
      <c r="J45" s="43">
        <v>184006</v>
      </c>
      <c r="K45" s="43">
        <v>29075</v>
      </c>
      <c r="L45" s="37">
        <v>0</v>
      </c>
      <c r="M45" s="37">
        <v>0</v>
      </c>
      <c r="N45" s="43">
        <v>284154</v>
      </c>
      <c r="O45" s="43">
        <v>750317</v>
      </c>
      <c r="P45" s="37">
        <v>0</v>
      </c>
      <c r="Q45" s="43">
        <v>3547162</v>
      </c>
      <c r="R45" s="43">
        <v>982869</v>
      </c>
      <c r="S45" s="37">
        <v>0</v>
      </c>
      <c r="T45" s="37">
        <v>0</v>
      </c>
      <c r="U45" s="37">
        <v>0</v>
      </c>
      <c r="V45" s="37">
        <v>0</v>
      </c>
      <c r="W45" s="37">
        <v>967</v>
      </c>
      <c r="X45" s="37">
        <v>0</v>
      </c>
      <c r="Y45" s="43">
        <v>18225</v>
      </c>
      <c r="Z45" s="43">
        <v>97030</v>
      </c>
      <c r="AA45" s="43">
        <v>13988</v>
      </c>
      <c r="AB45" s="37">
        <v>0</v>
      </c>
      <c r="AC45" s="43">
        <v>36699</v>
      </c>
      <c r="AD45" s="43">
        <v>380728</v>
      </c>
      <c r="AE45" s="37">
        <v>0</v>
      </c>
      <c r="AF45" s="43">
        <v>90393</v>
      </c>
      <c r="AG45" s="37">
        <v>0</v>
      </c>
      <c r="AH45" s="43">
        <v>1394436</v>
      </c>
      <c r="AI45" s="43">
        <v>3575067</v>
      </c>
      <c r="AJ45" s="43">
        <v>2107</v>
      </c>
      <c r="AK45" s="37">
        <v>0</v>
      </c>
      <c r="AL45" s="43">
        <v>56774</v>
      </c>
      <c r="AM45" s="44">
        <v>830</v>
      </c>
      <c r="AN45" s="43">
        <v>1005135</v>
      </c>
      <c r="AO45" s="37">
        <v>0</v>
      </c>
      <c r="AP45" s="43">
        <v>188570</v>
      </c>
      <c r="AQ45" s="43">
        <v>1351731</v>
      </c>
      <c r="AR45" s="43">
        <v>77445</v>
      </c>
      <c r="AS45" s="43">
        <v>40335</v>
      </c>
      <c r="AT45" s="43">
        <v>3962</v>
      </c>
      <c r="AU45" s="37">
        <v>0</v>
      </c>
      <c r="AV45" s="43">
        <v>26167</v>
      </c>
      <c r="AW45" s="43">
        <v>21886</v>
      </c>
      <c r="AX45" s="43">
        <v>402129</v>
      </c>
      <c r="AY45" s="43">
        <v>475918</v>
      </c>
      <c r="AZ45" s="43">
        <v>9358</v>
      </c>
      <c r="BA45" s="43">
        <v>149980</v>
      </c>
      <c r="BB45" s="43">
        <v>12241</v>
      </c>
      <c r="BC45" s="43">
        <v>164398</v>
      </c>
      <c r="BD45" s="43">
        <v>846784</v>
      </c>
      <c r="BE45" s="43">
        <v>9113</v>
      </c>
      <c r="BF45" s="43">
        <v>228726</v>
      </c>
      <c r="BG45" s="43">
        <v>7119</v>
      </c>
      <c r="BH45" s="43">
        <v>193421</v>
      </c>
      <c r="BI45" s="43">
        <v>5000</v>
      </c>
      <c r="BJ45" s="43">
        <v>54644</v>
      </c>
      <c r="BK45" s="43">
        <v>553782</v>
      </c>
      <c r="BL45" s="43">
        <v>22612</v>
      </c>
      <c r="BM45" s="37">
        <v>250</v>
      </c>
      <c r="BN45" s="43">
        <v>52071</v>
      </c>
      <c r="BO45" s="43">
        <v>285359</v>
      </c>
      <c r="BP45" s="43">
        <v>835709</v>
      </c>
      <c r="BQ45" s="43">
        <v>373232</v>
      </c>
      <c r="BR45" s="43">
        <v>22286</v>
      </c>
      <c r="BS45" s="43">
        <v>7101</v>
      </c>
      <c r="BT45" s="43">
        <v>11842</v>
      </c>
      <c r="BU45" s="43">
        <v>21189</v>
      </c>
      <c r="BV45" s="43">
        <v>13758</v>
      </c>
      <c r="BW45" s="43">
        <v>669900</v>
      </c>
      <c r="BX45" s="43">
        <v>6937015</v>
      </c>
      <c r="BY45" s="43">
        <v>987160</v>
      </c>
      <c r="BZ45" s="43">
        <v>119552</v>
      </c>
      <c r="CA45" s="44">
        <f t="shared" si="6"/>
        <v>28058829</v>
      </c>
    </row>
    <row r="46" spans="1:79" x14ac:dyDescent="0.25">
      <c r="A46" s="51" t="s">
        <v>166</v>
      </c>
      <c r="B46" s="51" t="s">
        <v>167</v>
      </c>
      <c r="C46" s="37">
        <v>211</v>
      </c>
      <c r="D46" s="43">
        <v>379226</v>
      </c>
      <c r="E46" s="43">
        <v>71584</v>
      </c>
      <c r="F46" s="43">
        <v>543262</v>
      </c>
      <c r="G46" s="43">
        <v>314863</v>
      </c>
      <c r="H46" s="43">
        <v>87860</v>
      </c>
      <c r="I46" s="43">
        <v>531644</v>
      </c>
      <c r="J46" s="43">
        <v>1131949</v>
      </c>
      <c r="K46" s="43">
        <v>127209</v>
      </c>
      <c r="L46" s="43">
        <v>215768</v>
      </c>
      <c r="M46" s="43">
        <v>29954</v>
      </c>
      <c r="N46" s="43">
        <v>1036309</v>
      </c>
      <c r="O46" s="43">
        <v>3024357</v>
      </c>
      <c r="P46" s="43">
        <v>50282</v>
      </c>
      <c r="Q46" s="43">
        <v>2181248</v>
      </c>
      <c r="R46" s="43">
        <v>475063</v>
      </c>
      <c r="S46" s="43">
        <v>208852</v>
      </c>
      <c r="T46" s="43">
        <v>382279</v>
      </c>
      <c r="U46" s="37">
        <v>0</v>
      </c>
      <c r="V46" s="43">
        <v>356279</v>
      </c>
      <c r="W46" s="43">
        <v>587493</v>
      </c>
      <c r="X46" s="43">
        <v>150994</v>
      </c>
      <c r="Y46" s="43">
        <v>59934</v>
      </c>
      <c r="Z46" s="43">
        <v>800388</v>
      </c>
      <c r="AA46" s="43">
        <v>182186</v>
      </c>
      <c r="AB46" s="43">
        <v>210743</v>
      </c>
      <c r="AC46" s="43">
        <v>85097</v>
      </c>
      <c r="AD46" s="43">
        <v>1287543</v>
      </c>
      <c r="AE46" s="43">
        <v>233107</v>
      </c>
      <c r="AF46" s="37">
        <v>0</v>
      </c>
      <c r="AG46" s="43">
        <v>255601</v>
      </c>
      <c r="AH46" s="43">
        <v>4863</v>
      </c>
      <c r="AI46" s="43">
        <v>3262432</v>
      </c>
      <c r="AJ46" s="43">
        <v>328873</v>
      </c>
      <c r="AK46" s="43">
        <v>57819</v>
      </c>
      <c r="AL46" s="43">
        <v>48767</v>
      </c>
      <c r="AM46" s="44">
        <v>124722</v>
      </c>
      <c r="AN46" s="43">
        <v>4089949</v>
      </c>
      <c r="AO46" s="37">
        <v>0</v>
      </c>
      <c r="AP46" s="43">
        <v>425632</v>
      </c>
      <c r="AQ46" s="43">
        <v>470140</v>
      </c>
      <c r="AR46" s="43">
        <v>433028</v>
      </c>
      <c r="AS46" s="43">
        <v>412068</v>
      </c>
      <c r="AT46" s="43">
        <v>46456</v>
      </c>
      <c r="AU46" s="43">
        <v>1196353</v>
      </c>
      <c r="AV46" s="43">
        <v>385106</v>
      </c>
      <c r="AW46" s="43">
        <v>148593</v>
      </c>
      <c r="AX46" s="43">
        <v>173282</v>
      </c>
      <c r="AY46" s="43">
        <v>651446</v>
      </c>
      <c r="AZ46" s="43">
        <v>30552</v>
      </c>
      <c r="BA46" s="43">
        <v>349968</v>
      </c>
      <c r="BB46" s="43">
        <v>132723</v>
      </c>
      <c r="BC46" s="43">
        <v>651151</v>
      </c>
      <c r="BD46" s="43">
        <v>1251403</v>
      </c>
      <c r="BE46" s="37">
        <v>0</v>
      </c>
      <c r="BF46" s="43">
        <v>1188600</v>
      </c>
      <c r="BG46" s="43">
        <v>57841</v>
      </c>
      <c r="BH46" s="43">
        <v>60365</v>
      </c>
      <c r="BI46" s="43">
        <v>130493</v>
      </c>
      <c r="BJ46" s="43">
        <v>304004</v>
      </c>
      <c r="BK46" s="43">
        <v>783001</v>
      </c>
      <c r="BL46" s="43">
        <v>153275</v>
      </c>
      <c r="BM46" s="43">
        <v>219648</v>
      </c>
      <c r="BN46" s="43">
        <v>311032</v>
      </c>
      <c r="BO46" s="43">
        <v>818552</v>
      </c>
      <c r="BP46" s="43">
        <v>1923027</v>
      </c>
      <c r="BQ46" s="43">
        <v>1136883</v>
      </c>
      <c r="BR46" s="43">
        <v>253606</v>
      </c>
      <c r="BS46" s="43">
        <v>307986</v>
      </c>
      <c r="BT46" s="43">
        <v>318599</v>
      </c>
      <c r="BU46" s="43">
        <v>245796</v>
      </c>
      <c r="BV46" s="43">
        <v>387626</v>
      </c>
      <c r="BW46" s="43">
        <v>979817</v>
      </c>
      <c r="BX46" s="43">
        <v>1237407</v>
      </c>
      <c r="BY46" s="37">
        <v>0</v>
      </c>
      <c r="BZ46" s="37">
        <v>0</v>
      </c>
      <c r="CA46" s="44">
        <f t="shared" si="6"/>
        <v>40494169</v>
      </c>
    </row>
    <row r="47" spans="1:79" x14ac:dyDescent="0.25">
      <c r="A47" s="51" t="s">
        <v>168</v>
      </c>
      <c r="B47" s="51" t="s">
        <v>169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43">
        <v>336135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43">
        <v>1607962</v>
      </c>
      <c r="AI47" s="37">
        <v>0</v>
      </c>
      <c r="AJ47" s="37">
        <v>0</v>
      </c>
      <c r="AK47" s="37">
        <v>0</v>
      </c>
      <c r="AL47" s="37">
        <v>0</v>
      </c>
      <c r="AM47" s="44">
        <v>0</v>
      </c>
      <c r="AN47" s="37">
        <v>0</v>
      </c>
      <c r="AO47" s="37">
        <v>0</v>
      </c>
      <c r="AP47" s="37">
        <v>0</v>
      </c>
      <c r="AQ47" s="37">
        <v>0</v>
      </c>
      <c r="AR47" s="43">
        <v>90945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43">
        <v>850473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43">
        <v>4311</v>
      </c>
      <c r="BX47" s="43">
        <v>883213</v>
      </c>
      <c r="BY47" s="37">
        <v>0</v>
      </c>
      <c r="BZ47" s="37">
        <v>0</v>
      </c>
      <c r="CA47" s="44">
        <f t="shared" si="6"/>
        <v>3773039</v>
      </c>
    </row>
    <row r="48" spans="1:79" x14ac:dyDescent="0.25">
      <c r="A48" s="51" t="s">
        <v>170</v>
      </c>
      <c r="B48" s="51" t="s">
        <v>171</v>
      </c>
      <c r="C48" s="37">
        <v>0</v>
      </c>
      <c r="D48" s="43">
        <v>32581</v>
      </c>
      <c r="E48" s="43">
        <v>17862</v>
      </c>
      <c r="F48" s="37">
        <v>0</v>
      </c>
      <c r="G48" s="37">
        <v>0</v>
      </c>
      <c r="H48" s="37">
        <v>0</v>
      </c>
      <c r="I48" s="37">
        <v>0</v>
      </c>
      <c r="J48" s="43">
        <v>3003</v>
      </c>
      <c r="K48" s="37">
        <v>0</v>
      </c>
      <c r="L48" s="37">
        <v>0</v>
      </c>
      <c r="M48" s="37">
        <v>0</v>
      </c>
      <c r="N48" s="43">
        <v>3765</v>
      </c>
      <c r="O48" s="43">
        <v>233702</v>
      </c>
      <c r="P48" s="43">
        <v>94033</v>
      </c>
      <c r="Q48" s="43">
        <v>152766</v>
      </c>
      <c r="R48" s="37">
        <v>0</v>
      </c>
      <c r="S48" s="43">
        <v>23120</v>
      </c>
      <c r="T48" s="37">
        <v>720</v>
      </c>
      <c r="U48" s="37">
        <v>0</v>
      </c>
      <c r="V48" s="37">
        <v>0</v>
      </c>
      <c r="W48" s="37">
        <v>0</v>
      </c>
      <c r="X48" s="37">
        <v>0</v>
      </c>
      <c r="Y48" s="37">
        <v>258</v>
      </c>
      <c r="Z48" s="43">
        <v>23028</v>
      </c>
      <c r="AA48" s="43">
        <v>1708</v>
      </c>
      <c r="AB48" s="37">
        <v>0</v>
      </c>
      <c r="AC48" s="43">
        <v>6210</v>
      </c>
      <c r="AD48" s="43">
        <v>40360</v>
      </c>
      <c r="AE48" s="37">
        <v>0</v>
      </c>
      <c r="AF48" s="37">
        <v>0</v>
      </c>
      <c r="AG48" s="37">
        <v>0</v>
      </c>
      <c r="AH48" s="43">
        <v>1664</v>
      </c>
      <c r="AI48" s="43">
        <v>95032</v>
      </c>
      <c r="AJ48" s="37">
        <v>0</v>
      </c>
      <c r="AK48" s="37">
        <v>0</v>
      </c>
      <c r="AL48" s="37">
        <v>0</v>
      </c>
      <c r="AM48" s="44">
        <v>0</v>
      </c>
      <c r="AN48" s="43">
        <v>555014</v>
      </c>
      <c r="AO48" s="37">
        <v>0</v>
      </c>
      <c r="AP48" s="37">
        <v>187</v>
      </c>
      <c r="AQ48" s="37">
        <v>0</v>
      </c>
      <c r="AR48" s="43">
        <v>15421</v>
      </c>
      <c r="AS48" s="37">
        <v>0</v>
      </c>
      <c r="AT48" s="37">
        <v>0</v>
      </c>
      <c r="AU48" s="43">
        <v>185338</v>
      </c>
      <c r="AV48" s="43">
        <v>120121</v>
      </c>
      <c r="AW48" s="43">
        <v>18436</v>
      </c>
      <c r="AX48" s="43">
        <v>63256</v>
      </c>
      <c r="AY48" s="43">
        <v>12122</v>
      </c>
      <c r="AZ48" s="37">
        <v>0</v>
      </c>
      <c r="BA48" s="43">
        <v>-94813</v>
      </c>
      <c r="BB48" s="43">
        <v>4934</v>
      </c>
      <c r="BC48" s="43">
        <v>29269</v>
      </c>
      <c r="BD48" s="43">
        <v>382652</v>
      </c>
      <c r="BE48" s="43">
        <v>57304</v>
      </c>
      <c r="BF48" s="37">
        <v>0</v>
      </c>
      <c r="BG48" s="43">
        <v>137846</v>
      </c>
      <c r="BH48" s="43">
        <v>40358</v>
      </c>
      <c r="BI48" s="37">
        <v>0</v>
      </c>
      <c r="BJ48" s="37">
        <v>0</v>
      </c>
      <c r="BK48" s="43">
        <v>53982</v>
      </c>
      <c r="BL48" s="37">
        <v>0</v>
      </c>
      <c r="BM48" s="37">
        <v>0</v>
      </c>
      <c r="BN48" s="43">
        <v>88154</v>
      </c>
      <c r="BO48" s="37">
        <v>0</v>
      </c>
      <c r="BP48" s="37">
        <v>0</v>
      </c>
      <c r="BQ48" s="43">
        <v>313332</v>
      </c>
      <c r="BR48" s="37">
        <v>0</v>
      </c>
      <c r="BS48" s="37">
        <v>0</v>
      </c>
      <c r="BT48" s="37">
        <v>0</v>
      </c>
      <c r="BU48" s="37">
        <v>0</v>
      </c>
      <c r="BV48" s="43">
        <v>27455</v>
      </c>
      <c r="BW48" s="37">
        <v>0</v>
      </c>
      <c r="BX48" s="43">
        <v>49707</v>
      </c>
      <c r="BY48" s="43">
        <v>6459</v>
      </c>
      <c r="BZ48" s="37">
        <v>0</v>
      </c>
      <c r="CA48" s="44">
        <f t="shared" si="6"/>
        <v>2796346</v>
      </c>
    </row>
    <row r="49" spans="1:79" x14ac:dyDescent="0.25">
      <c r="A49" s="51" t="s">
        <v>172</v>
      </c>
      <c r="B49" s="51" t="s">
        <v>173</v>
      </c>
      <c r="AM49" s="44"/>
      <c r="CA49" s="44">
        <f t="shared" si="6"/>
        <v>0</v>
      </c>
    </row>
    <row r="50" spans="1:79" x14ac:dyDescent="0.25">
      <c r="A50" s="51" t="s">
        <v>174</v>
      </c>
      <c r="B50" s="51" t="s">
        <v>175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43">
        <v>44840</v>
      </c>
      <c r="R50" s="43">
        <v>58474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43">
        <v>131091</v>
      </c>
      <c r="AJ50" s="37">
        <v>0</v>
      </c>
      <c r="AK50" s="37">
        <v>0</v>
      </c>
      <c r="AL50" s="37">
        <v>0</v>
      </c>
      <c r="AM50" s="44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43">
        <v>2282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14</v>
      </c>
      <c r="BK50" s="37">
        <v>0</v>
      </c>
      <c r="BL50" s="37">
        <v>0</v>
      </c>
      <c r="BM50" s="37">
        <v>0</v>
      </c>
      <c r="BN50" s="37">
        <v>0</v>
      </c>
      <c r="BO50" s="43">
        <v>152896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847</v>
      </c>
      <c r="BV50" s="37">
        <v>0</v>
      </c>
      <c r="BW50" s="37">
        <v>0</v>
      </c>
      <c r="BX50" s="43">
        <v>126342</v>
      </c>
      <c r="BY50" s="43">
        <v>2944</v>
      </c>
      <c r="BZ50" s="43">
        <v>167842</v>
      </c>
      <c r="CA50" s="44">
        <f t="shared" si="6"/>
        <v>687572</v>
      </c>
    </row>
    <row r="51" spans="1:79" x14ac:dyDescent="0.25">
      <c r="A51" s="51" t="s">
        <v>176</v>
      </c>
      <c r="B51" s="51" t="s">
        <v>177</v>
      </c>
      <c r="C51" s="43">
        <v>253177</v>
      </c>
      <c r="D51" s="43">
        <v>79631</v>
      </c>
      <c r="E51" s="43">
        <v>10214</v>
      </c>
      <c r="F51" s="43">
        <v>15528</v>
      </c>
      <c r="G51" s="37">
        <v>0</v>
      </c>
      <c r="H51" s="43">
        <v>125671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3">
        <v>61514</v>
      </c>
      <c r="O51" s="43">
        <v>134545</v>
      </c>
      <c r="P51" s="37">
        <v>0</v>
      </c>
      <c r="Q51" s="43">
        <v>26870</v>
      </c>
      <c r="R51" s="37">
        <v>0</v>
      </c>
      <c r="S51" s="37">
        <v>0</v>
      </c>
      <c r="T51" s="43">
        <v>7489</v>
      </c>
      <c r="U51" s="37">
        <v>0</v>
      </c>
      <c r="V51" s="37">
        <v>0</v>
      </c>
      <c r="W51" s="43">
        <v>35299</v>
      </c>
      <c r="X51" s="37">
        <v>0</v>
      </c>
      <c r="Y51" s="43">
        <v>22866</v>
      </c>
      <c r="Z51" s="37">
        <v>0</v>
      </c>
      <c r="AA51" s="37">
        <v>0</v>
      </c>
      <c r="AB51" s="37">
        <v>0</v>
      </c>
      <c r="AC51" s="37">
        <v>0</v>
      </c>
      <c r="AD51" s="43">
        <v>24917</v>
      </c>
      <c r="AE51" s="37">
        <v>0</v>
      </c>
      <c r="AF51" s="37">
        <v>0</v>
      </c>
      <c r="AG51" s="43">
        <v>367834</v>
      </c>
      <c r="AH51" s="43">
        <v>49513</v>
      </c>
      <c r="AI51" s="43">
        <v>465842</v>
      </c>
      <c r="AJ51" s="43">
        <v>44800</v>
      </c>
      <c r="AK51" s="43">
        <v>3266</v>
      </c>
      <c r="AL51" s="37">
        <v>0</v>
      </c>
      <c r="AM51" s="44">
        <v>0</v>
      </c>
      <c r="AN51" s="43">
        <v>185682</v>
      </c>
      <c r="AO51" s="37">
        <v>0</v>
      </c>
      <c r="AP51" s="37">
        <v>0</v>
      </c>
      <c r="AQ51" s="43">
        <v>92284</v>
      </c>
      <c r="AR51" s="43">
        <v>74759</v>
      </c>
      <c r="AS51" s="37">
        <v>0</v>
      </c>
      <c r="AT51" s="37">
        <v>0</v>
      </c>
      <c r="AU51" s="43">
        <v>95327</v>
      </c>
      <c r="AV51" s="37">
        <v>0</v>
      </c>
      <c r="AW51" s="37">
        <v>0</v>
      </c>
      <c r="AX51" s="37">
        <v>0</v>
      </c>
      <c r="AY51" s="43">
        <v>55879</v>
      </c>
      <c r="AZ51" s="37">
        <v>0</v>
      </c>
      <c r="BA51" s="37">
        <v>0</v>
      </c>
      <c r="BB51" s="43">
        <v>6225</v>
      </c>
      <c r="BC51" s="43">
        <v>26156</v>
      </c>
      <c r="BD51" s="43">
        <v>85983</v>
      </c>
      <c r="BE51" s="43">
        <v>234332</v>
      </c>
      <c r="BF51" s="43">
        <v>122264</v>
      </c>
      <c r="BG51" s="43">
        <v>623780</v>
      </c>
      <c r="BH51" s="43">
        <v>181963</v>
      </c>
      <c r="BI51" s="37">
        <v>20</v>
      </c>
      <c r="BJ51" s="43">
        <v>55180</v>
      </c>
      <c r="BK51" s="43">
        <v>6855</v>
      </c>
      <c r="BL51" s="43">
        <v>3535</v>
      </c>
      <c r="BM51" s="43">
        <v>57177</v>
      </c>
      <c r="BN51" s="43">
        <v>140714</v>
      </c>
      <c r="BO51" s="43">
        <v>4014</v>
      </c>
      <c r="BP51" s="37">
        <v>0</v>
      </c>
      <c r="BQ51" s="43">
        <v>296356</v>
      </c>
      <c r="BR51" s="37">
        <v>0</v>
      </c>
      <c r="BS51" s="37">
        <v>0</v>
      </c>
      <c r="BT51" s="37">
        <v>0</v>
      </c>
      <c r="BU51" s="37">
        <v>0</v>
      </c>
      <c r="BV51" s="43">
        <v>26615</v>
      </c>
      <c r="BW51" s="43">
        <v>1165533</v>
      </c>
      <c r="BX51" s="43">
        <v>4939</v>
      </c>
      <c r="BY51" s="37">
        <v>0</v>
      </c>
      <c r="BZ51" s="37">
        <v>0</v>
      </c>
      <c r="CA51" s="44">
        <f t="shared" si="6"/>
        <v>5274548</v>
      </c>
    </row>
    <row r="52" spans="1:79" x14ac:dyDescent="0.25">
      <c r="A52" s="51" t="s">
        <v>178</v>
      </c>
      <c r="B52" s="51" t="s">
        <v>179</v>
      </c>
      <c r="C52" s="37">
        <v>0</v>
      </c>
      <c r="D52" s="37">
        <v>0</v>
      </c>
      <c r="E52" s="43">
        <v>8605</v>
      </c>
      <c r="F52" s="37">
        <v>0</v>
      </c>
      <c r="G52" s="37">
        <v>0</v>
      </c>
      <c r="H52" s="43">
        <v>13911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3">
        <v>107859</v>
      </c>
      <c r="O52" s="43">
        <v>325258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43">
        <v>104664</v>
      </c>
      <c r="AA52" s="43">
        <v>18707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43">
        <v>78085</v>
      </c>
      <c r="AI52" s="37">
        <v>0</v>
      </c>
      <c r="AJ52" s="37">
        <v>0</v>
      </c>
      <c r="AK52" s="37">
        <v>0</v>
      </c>
      <c r="AL52" s="37">
        <v>0</v>
      </c>
      <c r="AM52" s="44">
        <v>0</v>
      </c>
      <c r="AN52" s="43">
        <v>552244</v>
      </c>
      <c r="AO52" s="37">
        <v>0</v>
      </c>
      <c r="AP52" s="37">
        <v>0</v>
      </c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43">
        <v>59675</v>
      </c>
      <c r="BG52" s="43">
        <v>230069</v>
      </c>
      <c r="BH52" s="43">
        <v>858362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43">
        <v>24980</v>
      </c>
      <c r="BR52" s="37">
        <v>0</v>
      </c>
      <c r="BS52" s="37">
        <v>0</v>
      </c>
      <c r="BT52" s="37">
        <v>0</v>
      </c>
      <c r="BU52" s="37">
        <v>0</v>
      </c>
      <c r="BV52" s="43">
        <v>1027</v>
      </c>
      <c r="BW52" s="43">
        <v>122872</v>
      </c>
      <c r="BX52" s="37">
        <v>0</v>
      </c>
      <c r="BY52" s="37">
        <v>0</v>
      </c>
      <c r="BZ52" s="43">
        <v>439599</v>
      </c>
      <c r="CA52" s="44">
        <f t="shared" si="6"/>
        <v>2945917</v>
      </c>
    </row>
    <row r="53" spans="1:79" x14ac:dyDescent="0.25">
      <c r="A53" s="51" t="s">
        <v>180</v>
      </c>
      <c r="B53" s="51" t="s">
        <v>181</v>
      </c>
      <c r="C53" s="43">
        <v>230446</v>
      </c>
      <c r="D53" s="43">
        <v>1174973</v>
      </c>
      <c r="E53" s="43">
        <v>471304</v>
      </c>
      <c r="F53" s="43">
        <v>364685</v>
      </c>
      <c r="G53" s="43">
        <v>270582</v>
      </c>
      <c r="H53" s="43">
        <v>3181743</v>
      </c>
      <c r="I53" s="43">
        <v>4069437</v>
      </c>
      <c r="J53" s="43">
        <v>1097444</v>
      </c>
      <c r="K53" s="43">
        <v>89547</v>
      </c>
      <c r="L53" s="43">
        <v>471937</v>
      </c>
      <c r="M53" s="43">
        <v>545834</v>
      </c>
      <c r="N53" s="43">
        <v>6854254</v>
      </c>
      <c r="O53" s="43">
        <v>3774805</v>
      </c>
      <c r="P53" s="43">
        <v>423049</v>
      </c>
      <c r="Q53" s="43">
        <v>11981372</v>
      </c>
      <c r="R53" s="43">
        <v>1847719</v>
      </c>
      <c r="S53" s="43">
        <v>620692</v>
      </c>
      <c r="T53" s="43">
        <v>504233</v>
      </c>
      <c r="U53" s="37">
        <v>0</v>
      </c>
      <c r="V53" s="43">
        <v>1201486</v>
      </c>
      <c r="W53" s="43">
        <v>11527099</v>
      </c>
      <c r="X53" s="43">
        <v>223736</v>
      </c>
      <c r="Y53" s="43">
        <v>19357</v>
      </c>
      <c r="Z53" s="43">
        <v>6490722</v>
      </c>
      <c r="AA53" s="43">
        <v>37153</v>
      </c>
      <c r="AB53" s="43">
        <v>462502</v>
      </c>
      <c r="AC53" s="43">
        <v>40775</v>
      </c>
      <c r="AD53" s="43">
        <v>1658024</v>
      </c>
      <c r="AE53" s="43">
        <v>271174</v>
      </c>
      <c r="AF53" s="43">
        <v>597205</v>
      </c>
      <c r="AG53" s="43">
        <v>69833</v>
      </c>
      <c r="AH53" s="43">
        <v>200257</v>
      </c>
      <c r="AI53" s="43">
        <v>5327510</v>
      </c>
      <c r="AJ53" s="43">
        <v>867359</v>
      </c>
      <c r="AK53" s="43">
        <v>321908</v>
      </c>
      <c r="AL53" s="43">
        <v>32848</v>
      </c>
      <c r="AM53" s="44">
        <v>423799</v>
      </c>
      <c r="AN53" s="43">
        <v>4126547</v>
      </c>
      <c r="AO53" s="37">
        <v>0</v>
      </c>
      <c r="AP53" s="43">
        <v>1998701</v>
      </c>
      <c r="AQ53" s="43">
        <v>2023352</v>
      </c>
      <c r="AR53" s="43">
        <v>357635</v>
      </c>
      <c r="AS53" s="43">
        <v>373101</v>
      </c>
      <c r="AT53" s="43">
        <v>214155</v>
      </c>
      <c r="AU53" s="43">
        <v>1343701</v>
      </c>
      <c r="AV53" s="43">
        <v>2425652</v>
      </c>
      <c r="AW53" s="43">
        <v>498473</v>
      </c>
      <c r="AX53" s="43">
        <v>221602</v>
      </c>
      <c r="AY53" s="43">
        <v>1403240</v>
      </c>
      <c r="AZ53" s="43">
        <v>302724</v>
      </c>
      <c r="BA53" s="43">
        <v>73417</v>
      </c>
      <c r="BB53" s="43">
        <v>426737</v>
      </c>
      <c r="BC53" s="43">
        <v>1699479</v>
      </c>
      <c r="BD53" s="43">
        <v>368921</v>
      </c>
      <c r="BE53" s="43">
        <v>3236304</v>
      </c>
      <c r="BF53" s="43">
        <v>1185622</v>
      </c>
      <c r="BG53" s="43">
        <v>3769626</v>
      </c>
      <c r="BH53" s="43">
        <v>2934643</v>
      </c>
      <c r="BI53" s="43">
        <v>225185</v>
      </c>
      <c r="BJ53" s="43">
        <v>793218</v>
      </c>
      <c r="BK53" s="43">
        <v>710407</v>
      </c>
      <c r="BL53" s="43">
        <v>760989</v>
      </c>
      <c r="BM53" s="43">
        <v>119029</v>
      </c>
      <c r="BN53" s="43">
        <v>398810</v>
      </c>
      <c r="BO53" s="43">
        <v>758969</v>
      </c>
      <c r="BP53" s="43">
        <v>1599795</v>
      </c>
      <c r="BQ53" s="43">
        <v>1942720</v>
      </c>
      <c r="BR53" s="43">
        <v>740181</v>
      </c>
      <c r="BS53" s="43">
        <v>330601</v>
      </c>
      <c r="BT53" s="43">
        <v>280895</v>
      </c>
      <c r="BU53" s="43">
        <v>1856087</v>
      </c>
      <c r="BV53" s="43">
        <v>2969131</v>
      </c>
      <c r="BW53" s="43">
        <v>8485930</v>
      </c>
      <c r="BX53" s="43">
        <v>2399174</v>
      </c>
      <c r="BY53" s="43">
        <v>1277400</v>
      </c>
      <c r="BZ53" s="43">
        <v>101793</v>
      </c>
      <c r="CA53" s="44">
        <f t="shared" si="6"/>
        <v>122480749</v>
      </c>
    </row>
    <row r="54" spans="1:79" x14ac:dyDescent="0.25">
      <c r="A54" s="37" t="s">
        <v>182</v>
      </c>
      <c r="B54" s="37" t="s">
        <v>183</v>
      </c>
      <c r="C54" s="43">
        <f>SUM(C4:C53)</f>
        <v>13993408</v>
      </c>
      <c r="D54" s="43">
        <f t="shared" ref="D54:BO54" si="13">SUM(D4:D53)</f>
        <v>153721655</v>
      </c>
      <c r="E54" s="43">
        <f t="shared" si="13"/>
        <v>6823058</v>
      </c>
      <c r="F54" s="43">
        <f t="shared" si="13"/>
        <v>58260348</v>
      </c>
      <c r="G54" s="43">
        <f t="shared" si="13"/>
        <v>18030909</v>
      </c>
      <c r="H54" s="43">
        <f t="shared" si="13"/>
        <v>15169502</v>
      </c>
      <c r="I54" s="43">
        <f t="shared" si="13"/>
        <v>28304970</v>
      </c>
      <c r="J54" s="43">
        <f t="shared" si="13"/>
        <v>82591743</v>
      </c>
      <c r="K54" s="43">
        <f t="shared" si="13"/>
        <v>10357449</v>
      </c>
      <c r="L54" s="43">
        <f t="shared" si="13"/>
        <v>7552871</v>
      </c>
      <c r="M54" s="43">
        <f t="shared" si="13"/>
        <v>5534778</v>
      </c>
      <c r="N54" s="43">
        <f t="shared" si="13"/>
        <v>292730885</v>
      </c>
      <c r="O54" s="43">
        <f t="shared" si="13"/>
        <v>300359603</v>
      </c>
      <c r="P54" s="43">
        <f t="shared" si="13"/>
        <v>11377159</v>
      </c>
      <c r="Q54" s="43">
        <f t="shared" si="13"/>
        <v>769579959</v>
      </c>
      <c r="R54" s="43">
        <f t="shared" si="13"/>
        <v>54345237</v>
      </c>
      <c r="S54" s="43">
        <f t="shared" si="13"/>
        <v>30882157</v>
      </c>
      <c r="T54" s="43">
        <f t="shared" si="13"/>
        <v>30432794</v>
      </c>
      <c r="U54" s="43">
        <f t="shared" si="13"/>
        <v>0</v>
      </c>
      <c r="V54" s="43">
        <f t="shared" si="13"/>
        <v>32955522</v>
      </c>
      <c r="W54" s="43">
        <f t="shared" si="13"/>
        <v>72919897</v>
      </c>
      <c r="X54" s="43">
        <f t="shared" si="13"/>
        <v>3561241</v>
      </c>
      <c r="Y54" s="43">
        <f t="shared" si="13"/>
        <v>8106800</v>
      </c>
      <c r="Z54" s="43">
        <f t="shared" si="13"/>
        <v>127939182</v>
      </c>
      <c r="AA54" s="43">
        <f t="shared" si="13"/>
        <v>21534425</v>
      </c>
      <c r="AB54" s="43">
        <f t="shared" si="13"/>
        <v>21174114</v>
      </c>
      <c r="AC54" s="43">
        <f t="shared" si="13"/>
        <v>31857186</v>
      </c>
      <c r="AD54" s="43">
        <f t="shared" si="13"/>
        <v>93392132</v>
      </c>
      <c r="AE54" s="43">
        <f t="shared" si="13"/>
        <v>4112793</v>
      </c>
      <c r="AF54" s="43">
        <f t="shared" si="13"/>
        <v>10627086</v>
      </c>
      <c r="AG54" s="43">
        <f t="shared" si="13"/>
        <v>5056101</v>
      </c>
      <c r="AH54" s="43">
        <f t="shared" si="13"/>
        <v>73182142</v>
      </c>
      <c r="AI54" s="43">
        <f t="shared" si="13"/>
        <v>513634184</v>
      </c>
      <c r="AJ54" s="43">
        <f t="shared" si="13"/>
        <v>39038835</v>
      </c>
      <c r="AK54" s="43">
        <f t="shared" si="13"/>
        <v>4105938</v>
      </c>
      <c r="AL54" s="43">
        <f t="shared" si="13"/>
        <v>9075858</v>
      </c>
      <c r="AM54" s="43">
        <f t="shared" si="13"/>
        <v>13668176</v>
      </c>
      <c r="AN54" s="43">
        <f t="shared" si="13"/>
        <v>415446420</v>
      </c>
      <c r="AO54" s="43">
        <f t="shared" si="13"/>
        <v>0</v>
      </c>
      <c r="AP54" s="43">
        <f t="shared" si="13"/>
        <v>63004182</v>
      </c>
      <c r="AQ54" s="43">
        <f t="shared" si="13"/>
        <v>92351617</v>
      </c>
      <c r="AR54" s="43">
        <f t="shared" si="13"/>
        <v>24355332</v>
      </c>
      <c r="AS54" s="43">
        <f t="shared" si="13"/>
        <v>15108429</v>
      </c>
      <c r="AT54" s="43">
        <f t="shared" si="13"/>
        <v>7034270</v>
      </c>
      <c r="AU54" s="43">
        <f t="shared" si="13"/>
        <v>197620535</v>
      </c>
      <c r="AV54" s="43">
        <f t="shared" si="13"/>
        <v>73377056</v>
      </c>
      <c r="AW54" s="43">
        <f t="shared" si="13"/>
        <v>18334033</v>
      </c>
      <c r="AX54" s="43">
        <f t="shared" si="13"/>
        <v>16159839</v>
      </c>
      <c r="AY54" s="43">
        <f t="shared" si="13"/>
        <v>133924750</v>
      </c>
      <c r="AZ54" s="43">
        <f t="shared" si="13"/>
        <v>6444097</v>
      </c>
      <c r="BA54" s="43">
        <f t="shared" si="13"/>
        <v>12372944</v>
      </c>
      <c r="BB54" s="43">
        <f t="shared" si="13"/>
        <v>16918395</v>
      </c>
      <c r="BC54" s="43">
        <f t="shared" si="13"/>
        <v>35417113</v>
      </c>
      <c r="BD54" s="43">
        <f t="shared" si="13"/>
        <v>86835287</v>
      </c>
      <c r="BE54" s="43">
        <f t="shared" si="13"/>
        <v>71908053</v>
      </c>
      <c r="BF54" s="43">
        <f t="shared" si="13"/>
        <v>91995110</v>
      </c>
      <c r="BG54" s="43">
        <f t="shared" si="13"/>
        <v>293596624</v>
      </c>
      <c r="BH54" s="43">
        <f t="shared" si="13"/>
        <v>216094385</v>
      </c>
      <c r="BI54" s="43">
        <f t="shared" si="13"/>
        <v>10097413</v>
      </c>
      <c r="BJ54" s="43">
        <f t="shared" si="13"/>
        <v>29499734</v>
      </c>
      <c r="BK54" s="43">
        <f t="shared" si="13"/>
        <v>56072640</v>
      </c>
      <c r="BL54" s="43">
        <f t="shared" si="13"/>
        <v>19368123</v>
      </c>
      <c r="BM54" s="43">
        <f t="shared" si="13"/>
        <v>17276243</v>
      </c>
      <c r="BN54" s="43">
        <f t="shared" si="13"/>
        <v>88259312</v>
      </c>
      <c r="BO54" s="43">
        <f t="shared" si="13"/>
        <v>72089446</v>
      </c>
      <c r="BP54" s="43">
        <f t="shared" ref="BP54:CA54" si="14">SUM(BP4:BP53)</f>
        <v>73830052</v>
      </c>
      <c r="BQ54" s="43">
        <f t="shared" si="14"/>
        <v>62718670</v>
      </c>
      <c r="BR54" s="43">
        <f t="shared" si="14"/>
        <v>12945223</v>
      </c>
      <c r="BS54" s="43">
        <f t="shared" si="14"/>
        <v>17909950</v>
      </c>
      <c r="BT54" s="43">
        <f t="shared" si="14"/>
        <v>33561942</v>
      </c>
      <c r="BU54" s="43">
        <f t="shared" si="14"/>
        <v>75958299</v>
      </c>
      <c r="BV54" s="43">
        <f t="shared" si="14"/>
        <v>117147781</v>
      </c>
      <c r="BW54" s="43">
        <f t="shared" si="14"/>
        <v>150801547</v>
      </c>
      <c r="BX54" s="43">
        <f t="shared" si="14"/>
        <v>20527571</v>
      </c>
      <c r="BY54" s="43">
        <f t="shared" si="14"/>
        <v>7291150</v>
      </c>
      <c r="BZ54" s="43">
        <f t="shared" si="14"/>
        <v>1546208</v>
      </c>
      <c r="CA54" s="44">
        <f t="shared" si="14"/>
        <v>5731189872</v>
      </c>
    </row>
    <row r="55" spans="1:79" x14ac:dyDescent="0.25">
      <c r="A55" s="37" t="s">
        <v>184</v>
      </c>
      <c r="B55" s="37" t="s">
        <v>185</v>
      </c>
      <c r="AM55" s="44"/>
      <c r="CA55" s="44">
        <f t="shared" si="6"/>
        <v>0</v>
      </c>
    </row>
    <row r="56" spans="1:79" x14ac:dyDescent="0.25">
      <c r="A56" s="37" t="s">
        <v>186</v>
      </c>
      <c r="B56" s="37" t="s">
        <v>187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43">
        <v>82539</v>
      </c>
      <c r="I56" s="37">
        <v>0</v>
      </c>
      <c r="J56" s="43">
        <v>729601</v>
      </c>
      <c r="K56" s="43">
        <v>2074310</v>
      </c>
      <c r="L56" s="43">
        <v>149918</v>
      </c>
      <c r="M56" s="37">
        <v>0</v>
      </c>
      <c r="N56" s="37">
        <v>0</v>
      </c>
      <c r="O56" s="43">
        <v>291588</v>
      </c>
      <c r="P56" s="37">
        <v>0</v>
      </c>
      <c r="Q56" s="43">
        <v>2293252</v>
      </c>
      <c r="R56" s="37">
        <v>0</v>
      </c>
      <c r="S56" s="43">
        <v>3219524</v>
      </c>
      <c r="T56" s="37">
        <v>0</v>
      </c>
      <c r="U56" s="37">
        <v>0</v>
      </c>
      <c r="V56" s="37">
        <v>0</v>
      </c>
      <c r="W56" s="37">
        <v>0</v>
      </c>
      <c r="X56" s="43">
        <v>430387</v>
      </c>
      <c r="Y56" s="43">
        <v>1436110</v>
      </c>
      <c r="Z56" s="37">
        <v>0</v>
      </c>
      <c r="AA56" s="43">
        <v>171273</v>
      </c>
      <c r="AB56" s="43">
        <v>66064</v>
      </c>
      <c r="AC56" s="37">
        <v>0</v>
      </c>
      <c r="AD56" s="43">
        <v>5700911</v>
      </c>
      <c r="AE56" s="37">
        <v>0</v>
      </c>
      <c r="AF56" s="37">
        <v>0</v>
      </c>
      <c r="AG56" s="43">
        <v>63134</v>
      </c>
      <c r="AH56" s="37">
        <v>0</v>
      </c>
      <c r="AI56" s="43">
        <v>4271950</v>
      </c>
      <c r="AJ56" s="37">
        <v>0</v>
      </c>
      <c r="AK56" s="37">
        <v>0</v>
      </c>
      <c r="AL56" s="37">
        <v>0</v>
      </c>
      <c r="AM56" s="44">
        <v>92112</v>
      </c>
      <c r="AN56" s="43">
        <v>830300</v>
      </c>
      <c r="AO56" s="37">
        <v>0</v>
      </c>
      <c r="AP56" s="43">
        <v>2200</v>
      </c>
      <c r="AQ56" s="43">
        <v>1238200</v>
      </c>
      <c r="AR56" s="43">
        <v>46500</v>
      </c>
      <c r="AS56" s="43">
        <v>112548</v>
      </c>
      <c r="AT56" s="43">
        <v>1637604</v>
      </c>
      <c r="AU56" s="43">
        <v>1595278</v>
      </c>
      <c r="AV56" s="43">
        <v>1620</v>
      </c>
      <c r="AW56" s="37">
        <v>0</v>
      </c>
      <c r="AX56" s="43">
        <v>39961</v>
      </c>
      <c r="AY56" s="37">
        <v>0</v>
      </c>
      <c r="AZ56" s="37">
        <v>0</v>
      </c>
      <c r="BA56" s="43">
        <v>168704</v>
      </c>
      <c r="BB56" s="43">
        <v>365465</v>
      </c>
      <c r="BC56" s="37">
        <v>0</v>
      </c>
      <c r="BD56" s="43">
        <v>28333</v>
      </c>
      <c r="BE56" s="43">
        <v>1472235</v>
      </c>
      <c r="BF56" s="37">
        <v>0</v>
      </c>
      <c r="BG56" s="37">
        <v>0</v>
      </c>
      <c r="BH56" s="37">
        <v>0</v>
      </c>
      <c r="BI56" s="37">
        <v>0</v>
      </c>
      <c r="BJ56" s="43">
        <v>71616</v>
      </c>
      <c r="BK56" s="43">
        <v>1117462</v>
      </c>
      <c r="BL56" s="43">
        <v>8596</v>
      </c>
      <c r="BM56" s="37">
        <v>0</v>
      </c>
      <c r="BN56" s="43">
        <v>383504</v>
      </c>
      <c r="BO56" s="43">
        <v>1565369</v>
      </c>
      <c r="BP56" s="43">
        <v>4073932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43">
        <v>350000</v>
      </c>
      <c r="BW56" s="43">
        <v>48360</v>
      </c>
      <c r="BX56" s="43">
        <v>7112</v>
      </c>
      <c r="BY56" s="43">
        <v>58998</v>
      </c>
      <c r="BZ56" s="37">
        <v>0</v>
      </c>
      <c r="CA56" s="44">
        <f t="shared" si="6"/>
        <v>36296570</v>
      </c>
    </row>
    <row r="57" spans="1:79" x14ac:dyDescent="0.25">
      <c r="A57" s="37" t="s">
        <v>188</v>
      </c>
      <c r="B57" s="37" t="s">
        <v>189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43">
        <v>286345</v>
      </c>
      <c r="R57" s="37">
        <v>0</v>
      </c>
      <c r="S57" s="43">
        <v>80000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43">
        <v>48803</v>
      </c>
      <c r="AI57" s="37">
        <v>0</v>
      </c>
      <c r="AJ57" s="37">
        <v>0</v>
      </c>
      <c r="AK57" s="37">
        <v>0</v>
      </c>
      <c r="AL57" s="37">
        <v>0</v>
      </c>
      <c r="AM57" s="44">
        <v>0</v>
      </c>
      <c r="AN57" s="37">
        <v>0</v>
      </c>
      <c r="AO57" s="37">
        <v>0</v>
      </c>
      <c r="AP57" s="37">
        <v>0</v>
      </c>
      <c r="AQ57" s="43">
        <v>391920</v>
      </c>
      <c r="AR57" s="37">
        <v>0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37">
        <v>0</v>
      </c>
      <c r="AZ57" s="37">
        <v>0</v>
      </c>
      <c r="BA57" s="37">
        <v>0</v>
      </c>
      <c r="BB57" s="37">
        <v>0</v>
      </c>
      <c r="BC57" s="37">
        <v>0</v>
      </c>
      <c r="BD57" s="37">
        <v>0</v>
      </c>
      <c r="BE57" s="37">
        <v>0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37">
        <v>0</v>
      </c>
      <c r="BW57" s="37">
        <v>0</v>
      </c>
      <c r="BX57" s="43">
        <v>3644812</v>
      </c>
      <c r="BY57" s="43">
        <v>4137769</v>
      </c>
      <c r="BZ57" s="43">
        <v>400409</v>
      </c>
      <c r="CA57" s="44">
        <f t="shared" si="6"/>
        <v>8990058</v>
      </c>
    </row>
    <row r="58" spans="1:79" x14ac:dyDescent="0.25">
      <c r="A58" s="37" t="s">
        <v>190</v>
      </c>
      <c r="B58" s="37" t="s">
        <v>191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43">
        <v>192278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43">
        <v>445631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43">
        <v>31907</v>
      </c>
      <c r="AB58" s="37">
        <v>0</v>
      </c>
      <c r="AC58" s="43">
        <v>169211</v>
      </c>
      <c r="AD58" s="37">
        <v>721</v>
      </c>
      <c r="AE58" s="37">
        <v>0</v>
      </c>
      <c r="AF58" s="43">
        <v>20529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44">
        <v>0</v>
      </c>
      <c r="AN58" s="37">
        <v>0</v>
      </c>
      <c r="AO58" s="37">
        <v>0</v>
      </c>
      <c r="AP58" s="43">
        <v>6277</v>
      </c>
      <c r="AQ58" s="37">
        <v>0</v>
      </c>
      <c r="AR58" s="37">
        <v>0</v>
      </c>
      <c r="AS58" s="37">
        <v>0</v>
      </c>
      <c r="AT58" s="43">
        <v>514768</v>
      </c>
      <c r="AU58" s="43">
        <v>151056</v>
      </c>
      <c r="AV58" s="37">
        <v>0</v>
      </c>
      <c r="AW58" s="37">
        <v>0</v>
      </c>
      <c r="AX58" s="37">
        <v>0</v>
      </c>
      <c r="AY58" s="37">
        <v>0</v>
      </c>
      <c r="AZ58" s="37">
        <v>0</v>
      </c>
      <c r="BA58" s="37">
        <v>0</v>
      </c>
      <c r="BB58" s="37">
        <v>0</v>
      </c>
      <c r="BC58" s="43">
        <v>372515</v>
      </c>
      <c r="BD58" s="37">
        <v>0</v>
      </c>
      <c r="BE58" s="43">
        <v>983410</v>
      </c>
      <c r="BF58" s="43">
        <v>169782</v>
      </c>
      <c r="BG58" s="37">
        <v>0</v>
      </c>
      <c r="BH58" s="37">
        <v>0</v>
      </c>
      <c r="BI58" s="37">
        <v>0</v>
      </c>
      <c r="BJ58" s="37">
        <v>0</v>
      </c>
      <c r="BK58" s="37">
        <v>0</v>
      </c>
      <c r="BL58" s="37">
        <v>0</v>
      </c>
      <c r="BM58" s="37">
        <v>0</v>
      </c>
      <c r="BN58" s="37">
        <v>0</v>
      </c>
      <c r="BO58" s="37">
        <v>0</v>
      </c>
      <c r="BP58" s="37">
        <v>0</v>
      </c>
      <c r="BQ58" s="43">
        <v>216347</v>
      </c>
      <c r="BR58" s="37">
        <v>0</v>
      </c>
      <c r="BS58" s="37">
        <v>0</v>
      </c>
      <c r="BT58" s="43">
        <v>39594</v>
      </c>
      <c r="BU58" s="37">
        <v>0</v>
      </c>
      <c r="BV58" s="43">
        <v>1049102</v>
      </c>
      <c r="BW58" s="37">
        <v>0</v>
      </c>
      <c r="BX58" s="37">
        <v>0</v>
      </c>
      <c r="BY58" s="37">
        <v>0</v>
      </c>
      <c r="BZ58" s="37">
        <v>0</v>
      </c>
      <c r="CA58" s="44">
        <f t="shared" si="6"/>
        <v>4363128</v>
      </c>
    </row>
    <row r="59" spans="1:79" x14ac:dyDescent="0.25">
      <c r="A59" s="37" t="s">
        <v>192</v>
      </c>
      <c r="B59" s="37" t="s">
        <v>193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43">
        <v>103898</v>
      </c>
      <c r="I59" s="37">
        <v>0</v>
      </c>
      <c r="J59" s="37">
        <v>0</v>
      </c>
      <c r="K59" s="43">
        <v>114954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44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0</v>
      </c>
      <c r="BS59" s="37">
        <v>0</v>
      </c>
      <c r="BT59" s="37">
        <v>0</v>
      </c>
      <c r="BU59" s="37">
        <v>0</v>
      </c>
      <c r="BV59" s="37">
        <v>0</v>
      </c>
      <c r="BW59" s="37">
        <v>0</v>
      </c>
      <c r="BX59" s="37">
        <v>0</v>
      </c>
      <c r="BY59" s="37">
        <v>0</v>
      </c>
      <c r="BZ59" s="37">
        <v>0</v>
      </c>
      <c r="CA59" s="44">
        <f t="shared" si="6"/>
        <v>218852</v>
      </c>
    </row>
    <row r="60" spans="1:79" x14ac:dyDescent="0.25">
      <c r="A60" s="37" t="s">
        <v>182</v>
      </c>
      <c r="B60" s="37" t="s">
        <v>194</v>
      </c>
      <c r="C60" s="44">
        <f>SUM(C56:C59)</f>
        <v>0</v>
      </c>
      <c r="D60" s="44">
        <f t="shared" ref="D60:BO60" si="15">SUM(D56:D59)</f>
        <v>0</v>
      </c>
      <c r="E60" s="44">
        <f t="shared" si="15"/>
        <v>0</v>
      </c>
      <c r="F60" s="44">
        <f t="shared" si="15"/>
        <v>0</v>
      </c>
      <c r="G60" s="44">
        <f t="shared" si="15"/>
        <v>0</v>
      </c>
      <c r="H60" s="44">
        <f t="shared" si="15"/>
        <v>186437</v>
      </c>
      <c r="I60" s="44">
        <f t="shared" si="15"/>
        <v>0</v>
      </c>
      <c r="J60" s="44">
        <f t="shared" si="15"/>
        <v>729601</v>
      </c>
      <c r="K60" s="44">
        <f t="shared" si="15"/>
        <v>2381542</v>
      </c>
      <c r="L60" s="44">
        <f t="shared" si="15"/>
        <v>149918</v>
      </c>
      <c r="M60" s="44">
        <f t="shared" si="15"/>
        <v>0</v>
      </c>
      <c r="N60" s="44">
        <f t="shared" si="15"/>
        <v>0</v>
      </c>
      <c r="O60" s="44">
        <f t="shared" si="15"/>
        <v>291588</v>
      </c>
      <c r="P60" s="44">
        <f t="shared" si="15"/>
        <v>0</v>
      </c>
      <c r="Q60" s="44">
        <f t="shared" si="15"/>
        <v>2579597</v>
      </c>
      <c r="R60" s="44">
        <f t="shared" si="15"/>
        <v>0</v>
      </c>
      <c r="S60" s="44">
        <f t="shared" si="15"/>
        <v>3299524</v>
      </c>
      <c r="T60" s="44">
        <f t="shared" si="15"/>
        <v>445631</v>
      </c>
      <c r="U60" s="44">
        <f t="shared" si="15"/>
        <v>0</v>
      </c>
      <c r="V60" s="44">
        <f t="shared" si="15"/>
        <v>0</v>
      </c>
      <c r="W60" s="44">
        <f t="shared" si="15"/>
        <v>0</v>
      </c>
      <c r="X60" s="44">
        <f t="shared" si="15"/>
        <v>430387</v>
      </c>
      <c r="Y60" s="44">
        <f t="shared" si="15"/>
        <v>1436110</v>
      </c>
      <c r="Z60" s="44">
        <f t="shared" si="15"/>
        <v>0</v>
      </c>
      <c r="AA60" s="44">
        <f t="shared" si="15"/>
        <v>203180</v>
      </c>
      <c r="AB60" s="44">
        <f t="shared" si="15"/>
        <v>66064</v>
      </c>
      <c r="AC60" s="44">
        <f t="shared" si="15"/>
        <v>169211</v>
      </c>
      <c r="AD60" s="44">
        <f t="shared" si="15"/>
        <v>5701632</v>
      </c>
      <c r="AE60" s="44">
        <f t="shared" si="15"/>
        <v>0</v>
      </c>
      <c r="AF60" s="44">
        <f t="shared" si="15"/>
        <v>20529</v>
      </c>
      <c r="AG60" s="44">
        <f t="shared" si="15"/>
        <v>63134</v>
      </c>
      <c r="AH60" s="44">
        <f t="shared" si="15"/>
        <v>48803</v>
      </c>
      <c r="AI60" s="44">
        <f t="shared" si="15"/>
        <v>4271950</v>
      </c>
      <c r="AJ60" s="44">
        <f t="shared" si="15"/>
        <v>0</v>
      </c>
      <c r="AK60" s="44">
        <f t="shared" si="15"/>
        <v>0</v>
      </c>
      <c r="AL60" s="44">
        <f t="shared" si="15"/>
        <v>0</v>
      </c>
      <c r="AM60" s="44">
        <f t="shared" si="15"/>
        <v>92112</v>
      </c>
      <c r="AN60" s="44">
        <f t="shared" si="15"/>
        <v>830300</v>
      </c>
      <c r="AO60" s="44">
        <f t="shared" si="15"/>
        <v>0</v>
      </c>
      <c r="AP60" s="44">
        <f t="shared" si="15"/>
        <v>8477</v>
      </c>
      <c r="AQ60" s="44">
        <f t="shared" si="15"/>
        <v>1630120</v>
      </c>
      <c r="AR60" s="44">
        <f t="shared" si="15"/>
        <v>46500</v>
      </c>
      <c r="AS60" s="44">
        <f t="shared" si="15"/>
        <v>112548</v>
      </c>
      <c r="AT60" s="44">
        <f t="shared" si="15"/>
        <v>2152372</v>
      </c>
      <c r="AU60" s="44">
        <f t="shared" si="15"/>
        <v>1746334</v>
      </c>
      <c r="AV60" s="44">
        <f t="shared" si="15"/>
        <v>1620</v>
      </c>
      <c r="AW60" s="44">
        <f t="shared" si="15"/>
        <v>0</v>
      </c>
      <c r="AX60" s="44">
        <f t="shared" si="15"/>
        <v>39961</v>
      </c>
      <c r="AY60" s="44">
        <f t="shared" si="15"/>
        <v>0</v>
      </c>
      <c r="AZ60" s="44">
        <f t="shared" si="15"/>
        <v>0</v>
      </c>
      <c r="BA60" s="44">
        <f t="shared" si="15"/>
        <v>168704</v>
      </c>
      <c r="BB60" s="44">
        <f t="shared" si="15"/>
        <v>365465</v>
      </c>
      <c r="BC60" s="44">
        <f t="shared" si="15"/>
        <v>372515</v>
      </c>
      <c r="BD60" s="44">
        <f t="shared" si="15"/>
        <v>28333</v>
      </c>
      <c r="BE60" s="44">
        <f t="shared" si="15"/>
        <v>2455645</v>
      </c>
      <c r="BF60" s="44">
        <f t="shared" si="15"/>
        <v>169782</v>
      </c>
      <c r="BG60" s="44">
        <f t="shared" si="15"/>
        <v>0</v>
      </c>
      <c r="BH60" s="44">
        <f t="shared" si="15"/>
        <v>0</v>
      </c>
      <c r="BI60" s="44">
        <f t="shared" si="15"/>
        <v>0</v>
      </c>
      <c r="BJ60" s="44">
        <f t="shared" si="15"/>
        <v>71616</v>
      </c>
      <c r="BK60" s="44">
        <f t="shared" si="15"/>
        <v>1117462</v>
      </c>
      <c r="BL60" s="44">
        <f t="shared" si="15"/>
        <v>8596</v>
      </c>
      <c r="BM60" s="44">
        <f t="shared" si="15"/>
        <v>0</v>
      </c>
      <c r="BN60" s="44">
        <f t="shared" si="15"/>
        <v>383504</v>
      </c>
      <c r="BO60" s="44">
        <f t="shared" si="15"/>
        <v>1565369</v>
      </c>
      <c r="BP60" s="44">
        <f t="shared" ref="BP60:CA60" si="16">SUM(BP56:BP59)</f>
        <v>4073932</v>
      </c>
      <c r="BQ60" s="44">
        <f t="shared" si="16"/>
        <v>216347</v>
      </c>
      <c r="BR60" s="44">
        <f t="shared" si="16"/>
        <v>0</v>
      </c>
      <c r="BS60" s="44">
        <f t="shared" si="16"/>
        <v>0</v>
      </c>
      <c r="BT60" s="44">
        <f t="shared" si="16"/>
        <v>39594</v>
      </c>
      <c r="BU60" s="44">
        <f t="shared" si="16"/>
        <v>0</v>
      </c>
      <c r="BV60" s="44">
        <f t="shared" si="16"/>
        <v>1399102</v>
      </c>
      <c r="BW60" s="44">
        <f t="shared" si="16"/>
        <v>48360</v>
      </c>
      <c r="BX60" s="44">
        <f t="shared" si="16"/>
        <v>3651924</v>
      </c>
      <c r="BY60" s="44">
        <f t="shared" si="16"/>
        <v>4196767</v>
      </c>
      <c r="BZ60" s="44">
        <f t="shared" si="16"/>
        <v>400409</v>
      </c>
      <c r="CA60" s="44">
        <f t="shared" si="16"/>
        <v>49868608</v>
      </c>
    </row>
    <row r="61" spans="1:79" x14ac:dyDescent="0.25">
      <c r="A61" s="52" t="s">
        <v>195</v>
      </c>
      <c r="B61" s="52" t="s">
        <v>196</v>
      </c>
      <c r="AM61" s="44"/>
      <c r="CA61" s="44">
        <f t="shared" si="6"/>
        <v>0</v>
      </c>
    </row>
    <row r="62" spans="1:79" x14ac:dyDescent="0.25">
      <c r="A62" s="52" t="s">
        <v>197</v>
      </c>
      <c r="B62" s="52" t="s">
        <v>198</v>
      </c>
      <c r="AM62" s="44"/>
      <c r="CA62" s="44">
        <f t="shared" si="6"/>
        <v>0</v>
      </c>
    </row>
    <row r="63" spans="1:79" x14ac:dyDescent="0.25">
      <c r="A63" s="52" t="s">
        <v>1368</v>
      </c>
      <c r="B63" s="52" t="s">
        <v>1369</v>
      </c>
      <c r="C63" s="43">
        <v>12211814</v>
      </c>
      <c r="D63" s="43">
        <v>91319247</v>
      </c>
      <c r="E63" s="43">
        <v>3978637</v>
      </c>
      <c r="F63" s="43">
        <v>45172478</v>
      </c>
      <c r="G63" s="43">
        <v>16314656</v>
      </c>
      <c r="H63" s="43">
        <v>11826908</v>
      </c>
      <c r="I63" s="43">
        <v>11441830</v>
      </c>
      <c r="J63" s="43">
        <v>52761488</v>
      </c>
      <c r="K63" s="43">
        <v>8248368</v>
      </c>
      <c r="L63" s="43">
        <v>9166882</v>
      </c>
      <c r="M63" s="43">
        <v>5538010</v>
      </c>
      <c r="N63" s="43">
        <f>50657546-10115609</f>
        <v>40541937</v>
      </c>
      <c r="O63" s="43">
        <v>146817158</v>
      </c>
      <c r="P63" s="43">
        <v>4953781</v>
      </c>
      <c r="Q63" s="43">
        <f>157794487-3787981-5480998-8842807-1186879-21894109-14584612-1395210</f>
        <v>100621891</v>
      </c>
      <c r="R63" s="43">
        <v>32935348</v>
      </c>
      <c r="S63" s="43">
        <v>21076099</v>
      </c>
      <c r="T63" s="43">
        <v>30555231</v>
      </c>
      <c r="U63" s="37">
        <v>0</v>
      </c>
      <c r="V63" s="43">
        <v>20021508</v>
      </c>
      <c r="W63" s="43">
        <v>39157954</v>
      </c>
      <c r="X63" s="43">
        <v>6726468</v>
      </c>
      <c r="Y63" s="43">
        <v>18163818</v>
      </c>
      <c r="Z63" s="43">
        <v>109868314</v>
      </c>
      <c r="AA63" s="43">
        <v>7615796</v>
      </c>
      <c r="AB63" s="37">
        <v>0</v>
      </c>
      <c r="AC63" s="43">
        <v>6436449</v>
      </c>
      <c r="AD63" s="43">
        <v>65538696</v>
      </c>
      <c r="AE63" s="43">
        <v>5210287</v>
      </c>
      <c r="AF63" s="43">
        <v>14527526</v>
      </c>
      <c r="AG63" s="43">
        <v>6339875</v>
      </c>
      <c r="AH63" s="43">
        <f>27116139-2387308</f>
        <v>24728831</v>
      </c>
      <c r="AI63" s="43">
        <v>314597565</v>
      </c>
      <c r="AJ63" s="43">
        <v>35942960</v>
      </c>
      <c r="AK63" s="43">
        <v>4200896</v>
      </c>
      <c r="AL63" s="43">
        <v>4766913</v>
      </c>
      <c r="AM63" s="44">
        <v>10096393</v>
      </c>
      <c r="AN63" s="43">
        <f>163596680-1148297-1389369-2772587-2025685</f>
        <v>156260742</v>
      </c>
      <c r="AO63" s="37">
        <v>0</v>
      </c>
      <c r="AP63" s="43">
        <v>47473545</v>
      </c>
      <c r="AQ63" s="43">
        <v>64182484</v>
      </c>
      <c r="AR63" s="43">
        <v>23491797</v>
      </c>
      <c r="AS63" s="43">
        <v>12486635</v>
      </c>
      <c r="AT63" s="43">
        <v>6491891</v>
      </c>
      <c r="AU63" s="43">
        <v>120415942</v>
      </c>
      <c r="AV63" s="43">
        <v>35094907</v>
      </c>
      <c r="AW63" s="43">
        <v>8634661</v>
      </c>
      <c r="AX63" s="43">
        <v>18117511</v>
      </c>
      <c r="AY63" s="43">
        <v>68935997</v>
      </c>
      <c r="AZ63" s="43">
        <v>1796293</v>
      </c>
      <c r="BA63" s="43">
        <v>18476333</v>
      </c>
      <c r="BB63" s="43">
        <v>15376751</v>
      </c>
      <c r="BC63" s="43">
        <v>23402912</v>
      </c>
      <c r="BD63" s="43">
        <v>33155027</v>
      </c>
      <c r="BE63" s="43">
        <v>45611766</v>
      </c>
      <c r="BF63" s="43">
        <v>61552605</v>
      </c>
      <c r="BG63" s="43">
        <f>84143530-1582651-1273934</f>
        <v>81286945</v>
      </c>
      <c r="BH63" s="43">
        <v>124431940</v>
      </c>
      <c r="BI63" s="43">
        <v>11551007</v>
      </c>
      <c r="BJ63" s="43">
        <v>22595744</v>
      </c>
      <c r="BK63" s="43">
        <v>51296282</v>
      </c>
      <c r="BL63" s="43">
        <v>11927432</v>
      </c>
      <c r="BM63" s="43">
        <v>12035663</v>
      </c>
      <c r="BN63" s="43">
        <v>38761754</v>
      </c>
      <c r="BO63" s="43">
        <v>51577599</v>
      </c>
      <c r="BP63" s="43">
        <v>29198241</v>
      </c>
      <c r="BQ63" s="43">
        <v>67333599</v>
      </c>
      <c r="BR63" s="43">
        <v>17979652</v>
      </c>
      <c r="BS63" s="37">
        <v>0</v>
      </c>
      <c r="BT63" s="43">
        <v>23701005</v>
      </c>
      <c r="BU63" s="43">
        <v>29695960</v>
      </c>
      <c r="BV63" s="43">
        <v>68344466</v>
      </c>
      <c r="BW63" s="43">
        <v>72206594</v>
      </c>
      <c r="BX63" s="43">
        <f>287903408-970549-10866769-2585046-1520679-831021-1967337-6041784-2780290-5715905-8155715-4059136-1724168-2753712-2283435-4251522-4263743-11268885-2280685-3316487-1031714-14867010-2845424-2511395-3005663-862853-823911-2650345-4120137-1898160-2834185-5784482-3108794-4449800-3238938-1535188-2438613</f>
        <v>152259928</v>
      </c>
      <c r="BY63" s="43">
        <f>279192581-1994771-6208264-3765037-1545233-4094696-28373766-6806165-4561839-4514668-8129014-1908269-5344489-3436703-6107713-1040364-826365-2839888-2900438-3439805-5497940</f>
        <v>175857154</v>
      </c>
      <c r="BZ63" s="43">
        <f>32630867-2082233-10505098-3775296</f>
        <v>16268240</v>
      </c>
      <c r="CA63" s="44">
        <f t="shared" si="6"/>
        <v>3158689016</v>
      </c>
    </row>
    <row r="64" spans="1:79" x14ac:dyDescent="0.25">
      <c r="A64" s="52" t="s">
        <v>199</v>
      </c>
      <c r="B64" s="52" t="s">
        <v>200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43">
        <v>94308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44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44">
        <f t="shared" si="6"/>
        <v>94308</v>
      </c>
    </row>
    <row r="65" spans="1:79" x14ac:dyDescent="0.25">
      <c r="A65" s="52" t="s">
        <v>201</v>
      </c>
      <c r="B65" s="52" t="s">
        <v>202</v>
      </c>
      <c r="AM65" s="44"/>
      <c r="CA65" s="44">
        <f t="shared" si="6"/>
        <v>0</v>
      </c>
    </row>
    <row r="66" spans="1:79" x14ac:dyDescent="0.25">
      <c r="A66" s="52" t="s">
        <v>203</v>
      </c>
      <c r="B66" s="52" t="s">
        <v>204</v>
      </c>
      <c r="C66" s="37">
        <v>0</v>
      </c>
      <c r="D66" s="43">
        <v>39216</v>
      </c>
      <c r="E66" s="37">
        <v>0</v>
      </c>
      <c r="F66" s="37">
        <v>0</v>
      </c>
      <c r="G66" s="43">
        <v>52825</v>
      </c>
      <c r="H66" s="37">
        <v>0</v>
      </c>
      <c r="I66" s="37">
        <v>0</v>
      </c>
      <c r="J66" s="43">
        <v>15541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43">
        <v>17267</v>
      </c>
      <c r="S66" s="43">
        <v>9534</v>
      </c>
      <c r="T66" s="43">
        <v>50361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43">
        <v>6106</v>
      </c>
      <c r="AD66" s="37">
        <v>0</v>
      </c>
      <c r="AE66" s="37">
        <v>0</v>
      </c>
      <c r="AF66" s="37">
        <v>0</v>
      </c>
      <c r="AG66" s="37">
        <v>0</v>
      </c>
      <c r="AH66" s="43">
        <v>7272</v>
      </c>
      <c r="AI66" s="37">
        <v>0</v>
      </c>
      <c r="AJ66" s="37">
        <v>0</v>
      </c>
      <c r="AK66" s="43">
        <v>9053</v>
      </c>
      <c r="AL66" s="37">
        <v>0</v>
      </c>
      <c r="AM66" s="44">
        <v>0</v>
      </c>
      <c r="AN66" s="37">
        <v>0</v>
      </c>
      <c r="AO66" s="37">
        <v>0</v>
      </c>
      <c r="AP66" s="43">
        <v>17929</v>
      </c>
      <c r="AQ66" s="37">
        <v>0</v>
      </c>
      <c r="AR66" s="37">
        <v>0</v>
      </c>
      <c r="AS66" s="37">
        <v>0</v>
      </c>
      <c r="AT66" s="37">
        <v>0</v>
      </c>
      <c r="AU66" s="43">
        <v>108785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43">
        <v>11559</v>
      </c>
      <c r="BE66" s="37">
        <v>0</v>
      </c>
      <c r="BF66" s="37">
        <v>0</v>
      </c>
      <c r="BG66" s="37">
        <v>0</v>
      </c>
      <c r="BH66" s="37">
        <v>0</v>
      </c>
      <c r="BI66" s="43">
        <v>12718</v>
      </c>
      <c r="BJ66" s="43">
        <v>8526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43">
        <v>9810</v>
      </c>
      <c r="BS66" s="37">
        <v>0</v>
      </c>
      <c r="BT66" s="43">
        <v>31761</v>
      </c>
      <c r="BU66" s="37">
        <v>0</v>
      </c>
      <c r="BV66" s="37">
        <v>0</v>
      </c>
      <c r="BW66" s="37">
        <v>0</v>
      </c>
      <c r="BX66" s="37">
        <v>0</v>
      </c>
      <c r="BY66" s="37">
        <v>0</v>
      </c>
      <c r="BZ66" s="37">
        <v>0</v>
      </c>
      <c r="CA66" s="44">
        <f t="shared" si="6"/>
        <v>408263</v>
      </c>
    </row>
    <row r="67" spans="1:79" x14ac:dyDescent="0.25">
      <c r="A67" s="52" t="s">
        <v>205</v>
      </c>
      <c r="B67" s="52" t="s">
        <v>206</v>
      </c>
      <c r="C67" s="43">
        <v>141461</v>
      </c>
      <c r="D67" s="43">
        <v>943076</v>
      </c>
      <c r="E67" s="43">
        <v>128152</v>
      </c>
      <c r="F67" s="43">
        <v>377230</v>
      </c>
      <c r="G67" s="43">
        <v>188615</v>
      </c>
      <c r="H67" s="43">
        <v>64487</v>
      </c>
      <c r="I67" s="43">
        <v>141461</v>
      </c>
      <c r="J67" s="43">
        <v>706104</v>
      </c>
      <c r="K67" s="43">
        <v>221394</v>
      </c>
      <c r="L67" s="43">
        <v>94308</v>
      </c>
      <c r="M67" s="43">
        <v>163276</v>
      </c>
      <c r="N67" s="43">
        <v>922087</v>
      </c>
      <c r="O67" s="43">
        <v>1320306</v>
      </c>
      <c r="P67" s="43">
        <v>100408</v>
      </c>
      <c r="Q67" s="43">
        <f>2027611-47153-94306</f>
        <v>1886152</v>
      </c>
      <c r="R67" s="43">
        <v>377230</v>
      </c>
      <c r="S67" s="43">
        <v>179051</v>
      </c>
      <c r="T67" s="43">
        <v>243257</v>
      </c>
      <c r="U67" s="37">
        <v>0</v>
      </c>
      <c r="V67" s="43">
        <v>288404</v>
      </c>
      <c r="W67" s="43">
        <v>412926</v>
      </c>
      <c r="X67" s="43">
        <v>141461</v>
      </c>
      <c r="Y67" s="43">
        <v>188615</v>
      </c>
      <c r="Z67" s="43">
        <v>1084537</v>
      </c>
      <c r="AA67" s="43">
        <v>94308</v>
      </c>
      <c r="AB67" s="43">
        <v>141461</v>
      </c>
      <c r="AC67" s="43">
        <v>124397</v>
      </c>
      <c r="AD67" s="43">
        <v>1060920</v>
      </c>
      <c r="AE67" s="37">
        <v>0</v>
      </c>
      <c r="AF67" s="43">
        <v>141461</v>
      </c>
      <c r="AG67" s="43">
        <v>94308</v>
      </c>
      <c r="AH67" s="43">
        <f>431722-7338</f>
        <v>424384</v>
      </c>
      <c r="AI67" s="43">
        <v>1202434</v>
      </c>
      <c r="AJ67" s="43">
        <v>424384</v>
      </c>
      <c r="AK67" s="43">
        <v>47154</v>
      </c>
      <c r="AL67" s="43">
        <v>94308</v>
      </c>
      <c r="AM67" s="44">
        <v>135988</v>
      </c>
      <c r="AN67" s="43">
        <v>1343861</v>
      </c>
      <c r="AO67" s="37">
        <v>0</v>
      </c>
      <c r="AP67" s="43">
        <v>518692</v>
      </c>
      <c r="AQ67" s="43">
        <v>612999</v>
      </c>
      <c r="AR67" s="43">
        <v>282923</v>
      </c>
      <c r="AS67" s="43">
        <v>141461</v>
      </c>
      <c r="AT67" s="43">
        <v>86480</v>
      </c>
      <c r="AU67" s="43">
        <v>1178845</v>
      </c>
      <c r="AV67" s="43">
        <v>424384</v>
      </c>
      <c r="AW67" s="43">
        <v>94308</v>
      </c>
      <c r="AX67" s="43">
        <v>119293</v>
      </c>
      <c r="AY67" s="43">
        <v>802736</v>
      </c>
      <c r="AZ67" s="43">
        <v>47154</v>
      </c>
      <c r="BA67" s="43">
        <v>217882</v>
      </c>
      <c r="BB67" s="43">
        <v>181109</v>
      </c>
      <c r="BC67" s="43">
        <v>190950</v>
      </c>
      <c r="BD67" s="43">
        <v>424384</v>
      </c>
      <c r="BE67" s="43">
        <v>565845</v>
      </c>
      <c r="BF67" s="43">
        <v>609519</v>
      </c>
      <c r="BG67" s="43">
        <v>949926</v>
      </c>
      <c r="BH67" s="43">
        <v>1678033</v>
      </c>
      <c r="BI67" s="43">
        <v>94308</v>
      </c>
      <c r="BJ67" s="43">
        <v>235769</v>
      </c>
      <c r="BK67" s="43">
        <v>424384</v>
      </c>
      <c r="BL67" s="43">
        <v>141461</v>
      </c>
      <c r="BM67" s="43">
        <v>141461</v>
      </c>
      <c r="BN67" s="43">
        <v>369562</v>
      </c>
      <c r="BO67" s="43">
        <v>471538</v>
      </c>
      <c r="BP67" s="43">
        <v>283256</v>
      </c>
      <c r="BQ67" s="43">
        <v>707307</v>
      </c>
      <c r="BR67" s="43">
        <v>108084</v>
      </c>
      <c r="BS67" s="43">
        <v>174060</v>
      </c>
      <c r="BT67" s="43">
        <v>235769</v>
      </c>
      <c r="BU67" s="43">
        <v>377230</v>
      </c>
      <c r="BV67" s="43">
        <v>801614</v>
      </c>
      <c r="BW67" s="43">
        <v>554173</v>
      </c>
      <c r="BX67" s="43">
        <f>1456162-41545-94308-47154-47154-47154-47154-47154-47154-47154-47154-47154-47154-94308</f>
        <v>754461</v>
      </c>
      <c r="BY67" s="43">
        <f>1771919-47154-121535-47154-47154-47154-47154-47154-282923-188615</f>
        <v>895922</v>
      </c>
      <c r="BZ67" s="43">
        <f>182604-47154-41142</f>
        <v>94308</v>
      </c>
      <c r="CA67" s="44">
        <f t="shared" si="6"/>
        <v>31634956</v>
      </c>
    </row>
    <row r="68" spans="1:79" x14ac:dyDescent="0.25">
      <c r="A68" s="52" t="s">
        <v>207</v>
      </c>
      <c r="B68" s="52" t="s">
        <v>208</v>
      </c>
      <c r="AM68" s="44"/>
      <c r="CA68" s="44">
        <f t="shared" si="6"/>
        <v>0</v>
      </c>
    </row>
    <row r="69" spans="1:79" x14ac:dyDescent="0.25">
      <c r="A69" s="52" t="s">
        <v>209</v>
      </c>
      <c r="B69" s="52" t="s">
        <v>210</v>
      </c>
      <c r="C69" s="43">
        <v>21266</v>
      </c>
      <c r="D69" s="43">
        <v>162075</v>
      </c>
      <c r="E69" s="43">
        <v>6734</v>
      </c>
      <c r="F69" s="43">
        <v>74978</v>
      </c>
      <c r="G69" s="43">
        <v>23153</v>
      </c>
      <c r="H69" s="43">
        <v>9102</v>
      </c>
      <c r="I69" s="43">
        <v>21393</v>
      </c>
      <c r="J69" s="43">
        <v>98070</v>
      </c>
      <c r="K69" s="43">
        <v>12784</v>
      </c>
      <c r="L69" s="43">
        <v>14574</v>
      </c>
      <c r="M69" s="37">
        <v>0</v>
      </c>
      <c r="N69" s="43">
        <f>212579-7803</f>
        <v>204776</v>
      </c>
      <c r="O69" s="43">
        <v>262228</v>
      </c>
      <c r="P69" s="43">
        <v>14296</v>
      </c>
      <c r="Q69" s="43">
        <f>384461-1383-4585-12961-279</f>
        <v>365253</v>
      </c>
      <c r="R69" s="37">
        <v>0</v>
      </c>
      <c r="S69" s="43">
        <v>4000</v>
      </c>
      <c r="T69" s="43">
        <v>48586</v>
      </c>
      <c r="U69" s="37">
        <v>0</v>
      </c>
      <c r="V69" s="43">
        <v>37704</v>
      </c>
      <c r="W69" s="43">
        <v>61700</v>
      </c>
      <c r="X69" s="43">
        <v>10455</v>
      </c>
      <c r="Y69" s="43">
        <v>27267</v>
      </c>
      <c r="Z69" s="43">
        <v>174842</v>
      </c>
      <c r="AA69" s="43">
        <v>15923</v>
      </c>
      <c r="AB69" s="43">
        <v>24777</v>
      </c>
      <c r="AC69" s="43">
        <v>15209</v>
      </c>
      <c r="AD69" s="43">
        <v>112350</v>
      </c>
      <c r="AE69" s="43">
        <v>7105</v>
      </c>
      <c r="AF69" s="43">
        <v>23121</v>
      </c>
      <c r="AG69" s="43">
        <v>8600</v>
      </c>
      <c r="AH69" s="43">
        <f>58836-2278</f>
        <v>56558</v>
      </c>
      <c r="AI69" s="43">
        <v>715094</v>
      </c>
      <c r="AJ69" s="43">
        <v>62662</v>
      </c>
      <c r="AK69" s="43">
        <v>6526</v>
      </c>
      <c r="AL69" s="43">
        <v>10257</v>
      </c>
      <c r="AM69" s="44">
        <v>17344</v>
      </c>
      <c r="AN69" s="43">
        <f>328222-1123-1442-3432</f>
        <v>322225</v>
      </c>
      <c r="AO69" s="37">
        <v>0</v>
      </c>
      <c r="AP69" s="43">
        <v>75000</v>
      </c>
      <c r="AQ69" s="43">
        <v>111728</v>
      </c>
      <c r="AR69" s="43">
        <v>37036</v>
      </c>
      <c r="AS69" s="43">
        <v>18827</v>
      </c>
      <c r="AT69" s="43">
        <v>9245</v>
      </c>
      <c r="AU69" s="43">
        <v>391977</v>
      </c>
      <c r="AV69" s="43">
        <v>60551</v>
      </c>
      <c r="AW69" s="43">
        <v>14808</v>
      </c>
      <c r="AX69" s="43">
        <v>22978</v>
      </c>
      <c r="AY69" s="43">
        <v>114538</v>
      </c>
      <c r="AZ69" s="43">
        <v>3663</v>
      </c>
      <c r="BA69" s="43">
        <v>29175</v>
      </c>
      <c r="BB69" s="43">
        <v>26009</v>
      </c>
      <c r="BC69" s="43">
        <v>15085</v>
      </c>
      <c r="BD69" s="43">
        <v>73421</v>
      </c>
      <c r="BE69" s="43">
        <v>77114</v>
      </c>
      <c r="BF69" s="43">
        <v>98195</v>
      </c>
      <c r="BG69" s="43">
        <f>201410-1223</f>
        <v>200187</v>
      </c>
      <c r="BH69" s="43">
        <v>190901</v>
      </c>
      <c r="BI69" s="43">
        <v>18952</v>
      </c>
      <c r="BJ69" s="43">
        <v>36149</v>
      </c>
      <c r="BK69" s="43">
        <v>79226</v>
      </c>
      <c r="BL69" s="43">
        <v>17609</v>
      </c>
      <c r="BM69" s="43">
        <v>20062</v>
      </c>
      <c r="BN69" s="43">
        <v>72277</v>
      </c>
      <c r="BO69" s="43">
        <v>74649</v>
      </c>
      <c r="BP69" s="43">
        <v>52887</v>
      </c>
      <c r="BQ69" s="43">
        <v>107778</v>
      </c>
      <c r="BR69" s="43">
        <v>27568</v>
      </c>
      <c r="BS69" s="43">
        <v>19614</v>
      </c>
      <c r="BT69" s="43">
        <v>34754</v>
      </c>
      <c r="BU69" s="43">
        <v>106703</v>
      </c>
      <c r="BV69" s="43">
        <v>120710</v>
      </c>
      <c r="BW69" s="43">
        <v>97255</v>
      </c>
      <c r="BX69" s="43">
        <f>228938-1160-9725-3894-1822-882-10570-8510-3233-8062-4856-2451-3495-9632-1879-4371-12954-3029-2474-668-2048-1532-176-5227-6888-1473-12670</f>
        <v>105257</v>
      </c>
      <c r="BY69" s="43">
        <f>108121-2922-7761-7018-3862-10614-1324-4583-1551-1200-2183-3451-6794</f>
        <v>54858</v>
      </c>
      <c r="BZ69" s="43">
        <f>19714-9857</f>
        <v>9857</v>
      </c>
      <c r="CA69" s="44">
        <f t="shared" si="6"/>
        <v>5679590</v>
      </c>
    </row>
    <row r="70" spans="1:79" x14ac:dyDescent="0.25">
      <c r="A70" s="52" t="s">
        <v>211</v>
      </c>
      <c r="B70" s="52" t="s">
        <v>212</v>
      </c>
      <c r="AM70" s="44"/>
      <c r="CA70" s="44">
        <f t="shared" si="6"/>
        <v>0</v>
      </c>
    </row>
    <row r="71" spans="1:79" x14ac:dyDescent="0.25">
      <c r="A71" s="52" t="s">
        <v>213</v>
      </c>
      <c r="B71" s="52" t="s">
        <v>214</v>
      </c>
      <c r="C71" s="37">
        <v>915</v>
      </c>
      <c r="D71" s="43">
        <v>2702</v>
      </c>
      <c r="E71" s="37">
        <v>915</v>
      </c>
      <c r="F71" s="43">
        <v>31759</v>
      </c>
      <c r="G71" s="37">
        <v>675</v>
      </c>
      <c r="H71" s="37">
        <v>675</v>
      </c>
      <c r="I71" s="37">
        <v>915</v>
      </c>
      <c r="J71" s="43">
        <v>2702</v>
      </c>
      <c r="K71" s="37">
        <v>915</v>
      </c>
      <c r="L71" s="37">
        <v>915</v>
      </c>
      <c r="M71" s="37">
        <v>915</v>
      </c>
      <c r="N71" s="43">
        <v>2702</v>
      </c>
      <c r="O71" s="43">
        <v>4728</v>
      </c>
      <c r="P71" s="37">
        <v>915</v>
      </c>
      <c r="Q71" s="43">
        <v>8781</v>
      </c>
      <c r="R71" s="37">
        <v>675</v>
      </c>
      <c r="S71" s="37">
        <v>675</v>
      </c>
      <c r="T71" s="43">
        <v>20291</v>
      </c>
      <c r="U71" s="37">
        <v>0</v>
      </c>
      <c r="V71" s="43">
        <v>1351</v>
      </c>
      <c r="W71" s="43">
        <v>1351</v>
      </c>
      <c r="X71" s="37">
        <v>915</v>
      </c>
      <c r="Y71" s="37">
        <v>675</v>
      </c>
      <c r="Z71" s="43">
        <v>2702</v>
      </c>
      <c r="AA71" s="43">
        <v>1134</v>
      </c>
      <c r="AB71" s="37">
        <v>675</v>
      </c>
      <c r="AC71" s="37">
        <v>675</v>
      </c>
      <c r="AD71" s="43">
        <v>2026</v>
      </c>
      <c r="AE71" s="37">
        <v>915</v>
      </c>
      <c r="AF71" s="37">
        <v>915</v>
      </c>
      <c r="AG71" s="37">
        <v>915</v>
      </c>
      <c r="AH71" s="37">
        <v>675</v>
      </c>
      <c r="AI71" s="43">
        <v>44046</v>
      </c>
      <c r="AJ71" s="37">
        <v>675</v>
      </c>
      <c r="AK71" s="37">
        <v>915</v>
      </c>
      <c r="AL71" s="37">
        <v>915</v>
      </c>
      <c r="AM71" s="44">
        <v>915</v>
      </c>
      <c r="AN71" s="43">
        <v>18786</v>
      </c>
      <c r="AO71" s="37">
        <v>0</v>
      </c>
      <c r="AP71" s="43">
        <v>1351</v>
      </c>
      <c r="AQ71" s="43">
        <v>6528</v>
      </c>
      <c r="AR71" s="43">
        <v>28404</v>
      </c>
      <c r="AS71" s="37">
        <v>915</v>
      </c>
      <c r="AT71" s="37">
        <v>675</v>
      </c>
      <c r="AU71" s="43">
        <v>4728</v>
      </c>
      <c r="AV71" s="43">
        <v>2026</v>
      </c>
      <c r="AW71" s="37">
        <v>915</v>
      </c>
      <c r="AX71" s="37">
        <v>675</v>
      </c>
      <c r="AY71" s="43">
        <v>2702</v>
      </c>
      <c r="AZ71" s="37">
        <v>915</v>
      </c>
      <c r="BA71" s="37">
        <v>675</v>
      </c>
      <c r="BB71" s="37">
        <v>675</v>
      </c>
      <c r="BC71" s="37">
        <v>675</v>
      </c>
      <c r="BD71" s="43">
        <v>1351</v>
      </c>
      <c r="BE71" s="43">
        <v>2702</v>
      </c>
      <c r="BF71" s="43">
        <v>2702</v>
      </c>
      <c r="BG71" s="37">
        <v>0</v>
      </c>
      <c r="BH71" s="43">
        <v>4728</v>
      </c>
      <c r="BI71" s="37">
        <v>915</v>
      </c>
      <c r="BJ71" s="43">
        <v>5543</v>
      </c>
      <c r="BK71" s="37">
        <v>675</v>
      </c>
      <c r="BL71" s="43">
        <v>1847</v>
      </c>
      <c r="BM71" s="37">
        <v>915</v>
      </c>
      <c r="BN71" s="37">
        <v>675</v>
      </c>
      <c r="BO71" s="37">
        <v>675</v>
      </c>
      <c r="BP71" s="43">
        <v>3377</v>
      </c>
      <c r="BQ71" s="43">
        <v>5999</v>
      </c>
      <c r="BR71" s="43">
        <v>1073</v>
      </c>
      <c r="BS71" s="43">
        <v>12688753</v>
      </c>
      <c r="BT71" s="37">
        <v>675</v>
      </c>
      <c r="BU71" s="37">
        <v>675</v>
      </c>
      <c r="BV71" s="43">
        <v>2702</v>
      </c>
      <c r="BW71" s="43">
        <v>1351</v>
      </c>
      <c r="BX71" s="37">
        <v>0</v>
      </c>
      <c r="BY71" s="37">
        <v>0</v>
      </c>
      <c r="BZ71" s="37">
        <v>0</v>
      </c>
      <c r="CA71" s="44">
        <f t="shared" ref="CA71:CA134" si="17">SUM(C71:BZ71)</f>
        <v>12943138</v>
      </c>
    </row>
    <row r="72" spans="1:79" x14ac:dyDescent="0.25">
      <c r="A72" s="52" t="s">
        <v>215</v>
      </c>
      <c r="B72" s="52" t="s">
        <v>216</v>
      </c>
      <c r="C72" s="37">
        <v>0</v>
      </c>
      <c r="D72" s="43">
        <v>3145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43">
        <v>4403</v>
      </c>
      <c r="N72" s="37">
        <v>0</v>
      </c>
      <c r="O72" s="37">
        <v>0</v>
      </c>
      <c r="P72" s="37">
        <v>0</v>
      </c>
      <c r="Q72" s="43">
        <v>1258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43">
        <v>32708</v>
      </c>
      <c r="AJ72" s="37">
        <v>0</v>
      </c>
      <c r="AK72" s="37">
        <v>0</v>
      </c>
      <c r="AL72" s="37">
        <v>0</v>
      </c>
      <c r="AM72" s="44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43">
        <v>6290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  <c r="BA72" s="37">
        <v>0</v>
      </c>
      <c r="BB72" s="37">
        <v>0</v>
      </c>
      <c r="BC72" s="37">
        <v>0</v>
      </c>
      <c r="BD72" s="43">
        <v>1887</v>
      </c>
      <c r="BE72" s="37">
        <v>0</v>
      </c>
      <c r="BF72" s="37">
        <v>0</v>
      </c>
      <c r="BG72" s="43">
        <v>6079</v>
      </c>
      <c r="BH72" s="43">
        <v>2516</v>
      </c>
      <c r="BI72" s="37">
        <v>0</v>
      </c>
      <c r="BJ72" s="37">
        <v>0</v>
      </c>
      <c r="BK72" s="37">
        <v>0</v>
      </c>
      <c r="BL72" s="37">
        <v>0</v>
      </c>
      <c r="BM72" s="37">
        <v>0</v>
      </c>
      <c r="BN72" s="37">
        <v>0</v>
      </c>
      <c r="BO72" s="37">
        <v>0</v>
      </c>
      <c r="BP72" s="37">
        <v>0</v>
      </c>
      <c r="BQ72" s="37">
        <v>0</v>
      </c>
      <c r="BR72" s="37">
        <v>0</v>
      </c>
      <c r="BS72" s="37">
        <v>0</v>
      </c>
      <c r="BT72" s="37">
        <v>0</v>
      </c>
      <c r="BU72" s="37">
        <v>0</v>
      </c>
      <c r="BV72" s="37">
        <v>629</v>
      </c>
      <c r="BW72" s="37">
        <v>0</v>
      </c>
      <c r="BX72" s="37">
        <v>0</v>
      </c>
      <c r="BY72" s="37">
        <v>0</v>
      </c>
      <c r="BZ72" s="37">
        <v>0</v>
      </c>
      <c r="CA72" s="44">
        <f t="shared" si="17"/>
        <v>58915</v>
      </c>
    </row>
    <row r="73" spans="1:79" x14ac:dyDescent="0.25">
      <c r="A73" s="52" t="s">
        <v>217</v>
      </c>
      <c r="B73" s="52" t="s">
        <v>218</v>
      </c>
      <c r="C73" s="43">
        <v>373159</v>
      </c>
      <c r="D73" s="43">
        <v>2034225</v>
      </c>
      <c r="E73" s="43">
        <v>178990</v>
      </c>
      <c r="F73" s="43">
        <v>10074</v>
      </c>
      <c r="G73" s="43">
        <v>292564</v>
      </c>
      <c r="H73" s="43">
        <v>190361</v>
      </c>
      <c r="I73" s="43">
        <v>37215</v>
      </c>
      <c r="J73" s="43">
        <v>962962</v>
      </c>
      <c r="K73" s="43">
        <v>143530</v>
      </c>
      <c r="L73" s="43">
        <v>140762</v>
      </c>
      <c r="M73" s="43">
        <v>139686</v>
      </c>
      <c r="N73" s="37">
        <v>0</v>
      </c>
      <c r="O73" s="43">
        <v>106112</v>
      </c>
      <c r="P73" s="37">
        <v>0</v>
      </c>
      <c r="Q73" s="43">
        <v>226771</v>
      </c>
      <c r="R73" s="43">
        <v>7207</v>
      </c>
      <c r="S73" s="43">
        <v>22714</v>
      </c>
      <c r="T73" s="43">
        <v>25298</v>
      </c>
      <c r="U73" s="37">
        <v>0</v>
      </c>
      <c r="V73" s="43">
        <v>45154</v>
      </c>
      <c r="W73" s="43">
        <v>15298</v>
      </c>
      <c r="X73" s="37">
        <v>0</v>
      </c>
      <c r="Y73" s="37">
        <v>0</v>
      </c>
      <c r="Z73" s="43">
        <v>55050</v>
      </c>
      <c r="AA73" s="43">
        <v>6916</v>
      </c>
      <c r="AB73" s="37">
        <v>0</v>
      </c>
      <c r="AC73" s="37">
        <v>0</v>
      </c>
      <c r="AD73" s="37">
        <v>0</v>
      </c>
      <c r="AE73" s="37">
        <v>0</v>
      </c>
      <c r="AF73" s="43">
        <v>24912</v>
      </c>
      <c r="AG73" s="43">
        <v>10000</v>
      </c>
      <c r="AH73" s="37">
        <v>0</v>
      </c>
      <c r="AI73" s="37">
        <v>0</v>
      </c>
      <c r="AJ73" s="43">
        <v>33577</v>
      </c>
      <c r="AK73" s="37">
        <v>0</v>
      </c>
      <c r="AL73" s="43">
        <v>6431</v>
      </c>
      <c r="AM73" s="44">
        <v>0</v>
      </c>
      <c r="AN73" s="37">
        <v>0</v>
      </c>
      <c r="AO73" s="37">
        <v>0</v>
      </c>
      <c r="AP73" s="43">
        <v>385752</v>
      </c>
      <c r="AQ73" s="43">
        <v>85456</v>
      </c>
      <c r="AR73" s="43">
        <v>112113</v>
      </c>
      <c r="AS73" s="43">
        <v>9339</v>
      </c>
      <c r="AT73" s="43">
        <v>16811</v>
      </c>
      <c r="AU73" s="43">
        <v>55345</v>
      </c>
      <c r="AV73" s="43">
        <v>19890</v>
      </c>
      <c r="AW73" s="37">
        <v>0</v>
      </c>
      <c r="AX73" s="43">
        <v>12147</v>
      </c>
      <c r="AY73" s="43">
        <v>113385</v>
      </c>
      <c r="AZ73" s="37">
        <v>0</v>
      </c>
      <c r="BA73" s="43">
        <v>8159</v>
      </c>
      <c r="BB73" s="37">
        <v>0</v>
      </c>
      <c r="BC73" s="43">
        <v>41591</v>
      </c>
      <c r="BD73" s="43">
        <v>70300</v>
      </c>
      <c r="BE73" s="43">
        <v>20601</v>
      </c>
      <c r="BF73" s="43">
        <v>51027</v>
      </c>
      <c r="BG73" s="43">
        <v>82159</v>
      </c>
      <c r="BH73" s="43">
        <v>238092</v>
      </c>
      <c r="BI73" s="43">
        <v>15119</v>
      </c>
      <c r="BJ73" s="37">
        <v>0</v>
      </c>
      <c r="BK73" s="43">
        <v>20000</v>
      </c>
      <c r="BL73" s="43">
        <v>13293</v>
      </c>
      <c r="BM73" s="43">
        <v>5884</v>
      </c>
      <c r="BN73" s="43">
        <v>19101</v>
      </c>
      <c r="BO73" s="43">
        <v>95572</v>
      </c>
      <c r="BP73" s="43">
        <v>30232</v>
      </c>
      <c r="BQ73" s="43">
        <v>114875</v>
      </c>
      <c r="BR73" s="37">
        <v>0</v>
      </c>
      <c r="BS73" s="43">
        <v>87040</v>
      </c>
      <c r="BT73" s="37">
        <v>0</v>
      </c>
      <c r="BU73" s="37">
        <v>0</v>
      </c>
      <c r="BV73" s="43">
        <v>83006</v>
      </c>
      <c r="BW73" s="37">
        <v>0</v>
      </c>
      <c r="BX73" s="37">
        <v>0</v>
      </c>
      <c r="BY73" s="43">
        <f>67552-10000-6508-13430</f>
        <v>37614</v>
      </c>
      <c r="BZ73" s="37">
        <v>0</v>
      </c>
      <c r="CA73" s="44">
        <f t="shared" si="17"/>
        <v>6932871</v>
      </c>
    </row>
    <row r="74" spans="1:79" x14ac:dyDescent="0.25">
      <c r="A74" s="52" t="s">
        <v>219</v>
      </c>
      <c r="B74" s="52" t="s">
        <v>220</v>
      </c>
      <c r="C74" s="43">
        <v>347209</v>
      </c>
      <c r="D74" s="43">
        <v>1007428</v>
      </c>
      <c r="E74" s="43">
        <v>64550</v>
      </c>
      <c r="F74" s="43">
        <v>474084</v>
      </c>
      <c r="G74" s="43">
        <v>237042</v>
      </c>
      <c r="H74" s="43">
        <v>117175</v>
      </c>
      <c r="I74" s="43">
        <v>237042</v>
      </c>
      <c r="J74" s="43">
        <v>609607</v>
      </c>
      <c r="K74" s="43">
        <v>118521</v>
      </c>
      <c r="L74" s="43">
        <v>118521</v>
      </c>
      <c r="M74" s="43">
        <v>135509</v>
      </c>
      <c r="N74" s="43">
        <f>1813254-59260</f>
        <v>1753994</v>
      </c>
      <c r="O74" s="43">
        <v>1626521</v>
      </c>
      <c r="P74" s="43">
        <v>118521</v>
      </c>
      <c r="Q74" s="37">
        <v>0</v>
      </c>
      <c r="R74" s="43">
        <v>533344</v>
      </c>
      <c r="S74" s="43">
        <f>279878-49294</f>
        <v>230584</v>
      </c>
      <c r="T74" s="43">
        <v>474084</v>
      </c>
      <c r="U74" s="37">
        <v>0</v>
      </c>
      <c r="V74" s="43">
        <v>242733</v>
      </c>
      <c r="W74" s="43">
        <v>901327</v>
      </c>
      <c r="X74" s="43">
        <v>118521</v>
      </c>
      <c r="Y74" s="43">
        <v>237042</v>
      </c>
      <c r="Z74" s="43">
        <v>775225</v>
      </c>
      <c r="AA74" s="43">
        <v>248825</v>
      </c>
      <c r="AB74" s="43">
        <v>237042</v>
      </c>
      <c r="AC74" s="43">
        <v>237042</v>
      </c>
      <c r="AD74" s="43">
        <v>841968</v>
      </c>
      <c r="AE74" s="43">
        <v>59260</v>
      </c>
      <c r="AF74" s="43">
        <v>226945</v>
      </c>
      <c r="AG74" s="43">
        <v>118521</v>
      </c>
      <c r="AH74" s="43">
        <f>644605-26000</f>
        <v>618605</v>
      </c>
      <c r="AI74" s="37">
        <v>0</v>
      </c>
      <c r="AJ74" s="43">
        <v>355563</v>
      </c>
      <c r="AK74" s="43">
        <v>133538</v>
      </c>
      <c r="AL74" s="43">
        <v>59260</v>
      </c>
      <c r="AM74" s="44">
        <v>355563</v>
      </c>
      <c r="AN74" s="43">
        <f>48443-48443</f>
        <v>0</v>
      </c>
      <c r="AO74" s="37">
        <v>0</v>
      </c>
      <c r="AP74" s="43">
        <v>370378</v>
      </c>
      <c r="AQ74" s="43">
        <f>804541-34155</f>
        <v>770386</v>
      </c>
      <c r="AR74" s="43">
        <v>355563</v>
      </c>
      <c r="AS74" s="43">
        <v>177781</v>
      </c>
      <c r="AT74" s="43">
        <v>198395</v>
      </c>
      <c r="AU74" s="43">
        <v>925792</v>
      </c>
      <c r="AV74" s="43">
        <v>355563</v>
      </c>
      <c r="AW74" s="43">
        <v>110623</v>
      </c>
      <c r="AX74" s="43">
        <v>180189</v>
      </c>
      <c r="AY74" s="43">
        <v>736767</v>
      </c>
      <c r="AZ74" s="43">
        <v>59260</v>
      </c>
      <c r="BA74" s="43">
        <v>306895</v>
      </c>
      <c r="BB74" s="43">
        <v>296697</v>
      </c>
      <c r="BC74" s="43">
        <v>441753</v>
      </c>
      <c r="BD74" s="43">
        <v>596672</v>
      </c>
      <c r="BE74" s="43">
        <v>948167</v>
      </c>
      <c r="BF74" s="43">
        <v>707061</v>
      </c>
      <c r="BG74" s="37">
        <v>0</v>
      </c>
      <c r="BH74" s="37">
        <v>0</v>
      </c>
      <c r="BI74" s="43">
        <v>118521</v>
      </c>
      <c r="BJ74" s="43">
        <v>355563</v>
      </c>
      <c r="BK74" s="43">
        <v>533344</v>
      </c>
      <c r="BL74" s="43">
        <v>177781</v>
      </c>
      <c r="BM74" s="43">
        <v>59260</v>
      </c>
      <c r="BN74" s="43">
        <v>474084</v>
      </c>
      <c r="BO74" s="43">
        <v>533344</v>
      </c>
      <c r="BP74" s="43">
        <v>454832</v>
      </c>
      <c r="BQ74" s="43">
        <v>829646</v>
      </c>
      <c r="BR74" s="43">
        <v>172924</v>
      </c>
      <c r="BS74" s="43">
        <v>296302</v>
      </c>
      <c r="BT74" s="43">
        <v>349376</v>
      </c>
      <c r="BU74" s="43">
        <v>429235</v>
      </c>
      <c r="BV74" s="43">
        <v>822889</v>
      </c>
      <c r="BW74" s="43">
        <v>583709</v>
      </c>
      <c r="BX74" s="43">
        <f>1931838-40482-43000-43000-45061-43000-18140-43000-43000-42601-39516-69729-45350-21500-43000-43000-43000-43000-43000-43000-49379-43000-43000-43000</f>
        <v>958080</v>
      </c>
      <c r="BY74" s="43">
        <f>1561744-53834-53834-53833-58479-53833-48146-53833-47411-53834-38608-53834-53833-53536-53833</f>
        <v>831063</v>
      </c>
      <c r="BZ74" s="43">
        <f>118520-59260</f>
        <v>59260</v>
      </c>
      <c r="CA74" s="44">
        <f t="shared" si="17"/>
        <v>29547871</v>
      </c>
    </row>
    <row r="75" spans="1:79" x14ac:dyDescent="0.25">
      <c r="A75" s="52" t="s">
        <v>221</v>
      </c>
      <c r="B75" s="52" t="s">
        <v>222</v>
      </c>
      <c r="C75" s="43">
        <v>202944</v>
      </c>
      <c r="D75" s="43">
        <v>856875</v>
      </c>
      <c r="E75" s="43">
        <v>71724</v>
      </c>
      <c r="F75" s="43">
        <v>315691</v>
      </c>
      <c r="G75" s="43">
        <v>157845</v>
      </c>
      <c r="H75" s="43">
        <v>50049</v>
      </c>
      <c r="I75" s="43">
        <v>135296</v>
      </c>
      <c r="J75" s="43">
        <v>382861</v>
      </c>
      <c r="K75" s="43">
        <v>112747</v>
      </c>
      <c r="L75" s="43">
        <v>90197</v>
      </c>
      <c r="M75" s="43">
        <v>123219</v>
      </c>
      <c r="N75" s="43">
        <f>982886-21985</f>
        <v>960901</v>
      </c>
      <c r="O75" s="43">
        <v>1025995</v>
      </c>
      <c r="P75" s="43">
        <v>67648</v>
      </c>
      <c r="Q75" s="43">
        <f>2043996-21182-25495-21182-21182-21182-21182-21182-21182-21182</f>
        <v>1849045</v>
      </c>
      <c r="R75" s="43">
        <v>338240</v>
      </c>
      <c r="S75" s="43">
        <f>157109-45555</f>
        <v>111554</v>
      </c>
      <c r="T75" s="43">
        <v>360789</v>
      </c>
      <c r="U75" s="37">
        <v>0</v>
      </c>
      <c r="V75" s="43">
        <v>202944</v>
      </c>
      <c r="W75" s="43">
        <v>441648</v>
      </c>
      <c r="X75" s="43">
        <v>67648</v>
      </c>
      <c r="Y75" s="43">
        <v>208074</v>
      </c>
      <c r="Z75" s="43">
        <v>563733</v>
      </c>
      <c r="AA75" s="43">
        <v>138275</v>
      </c>
      <c r="AB75" s="43">
        <v>180395</v>
      </c>
      <c r="AC75" s="43">
        <v>135296</v>
      </c>
      <c r="AD75" s="43">
        <v>563733</v>
      </c>
      <c r="AE75" s="43">
        <v>45099</v>
      </c>
      <c r="AF75" s="43">
        <v>168539</v>
      </c>
      <c r="AG75" s="43">
        <v>74365</v>
      </c>
      <c r="AH75" s="43">
        <f>449619-21182</f>
        <v>428437</v>
      </c>
      <c r="AI75" s="43">
        <v>1960971</v>
      </c>
      <c r="AJ75" s="43">
        <v>338240</v>
      </c>
      <c r="AK75" s="43">
        <v>43274</v>
      </c>
      <c r="AL75" s="43">
        <v>67648</v>
      </c>
      <c r="AM75" s="44">
        <v>180395</v>
      </c>
      <c r="AN75" s="43">
        <f>1275525-36679-21182</f>
        <v>1217664</v>
      </c>
      <c r="AO75" s="37">
        <v>0</v>
      </c>
      <c r="AP75" s="43">
        <v>383339</v>
      </c>
      <c r="AQ75" s="43">
        <f>541536-45451</f>
        <v>496085</v>
      </c>
      <c r="AR75" s="43">
        <v>202944</v>
      </c>
      <c r="AS75" s="43">
        <v>135296</v>
      </c>
      <c r="AT75" s="43">
        <v>112747</v>
      </c>
      <c r="AU75" s="43">
        <v>700797</v>
      </c>
      <c r="AV75" s="43">
        <v>293141</v>
      </c>
      <c r="AW75" s="43">
        <v>90197</v>
      </c>
      <c r="AX75" s="43">
        <v>112132</v>
      </c>
      <c r="AY75" s="43">
        <v>412569</v>
      </c>
      <c r="AZ75" s="43">
        <v>45099</v>
      </c>
      <c r="BA75" s="43">
        <v>196085</v>
      </c>
      <c r="BB75" s="43">
        <v>135296</v>
      </c>
      <c r="BC75" s="43">
        <v>110256</v>
      </c>
      <c r="BD75" s="43">
        <v>383339</v>
      </c>
      <c r="BE75" s="43">
        <v>563733</v>
      </c>
      <c r="BF75" s="43">
        <v>308573</v>
      </c>
      <c r="BG75" s="43">
        <f>796388-63322</f>
        <v>733066</v>
      </c>
      <c r="BH75" s="43">
        <v>721579</v>
      </c>
      <c r="BI75" s="37">
        <v>0</v>
      </c>
      <c r="BJ75" s="37">
        <v>0</v>
      </c>
      <c r="BK75" s="37">
        <v>0</v>
      </c>
      <c r="BL75" s="37">
        <v>0</v>
      </c>
      <c r="BM75" s="37">
        <v>0</v>
      </c>
      <c r="BN75" s="37">
        <v>0</v>
      </c>
      <c r="BO75" s="37">
        <v>0</v>
      </c>
      <c r="BP75" s="43">
        <v>23060</v>
      </c>
      <c r="BQ75" s="37">
        <v>0</v>
      </c>
      <c r="BR75" s="37">
        <v>0</v>
      </c>
      <c r="BS75" s="37">
        <v>0</v>
      </c>
      <c r="BT75" s="37">
        <v>0</v>
      </c>
      <c r="BU75" s="43">
        <v>80574</v>
      </c>
      <c r="BV75" s="37">
        <v>0</v>
      </c>
      <c r="BW75" s="43">
        <v>156416</v>
      </c>
      <c r="BX75" s="43">
        <f>17160-8843-5227-3090</f>
        <v>0</v>
      </c>
      <c r="BY75" s="37">
        <v>0</v>
      </c>
      <c r="BZ75" s="37">
        <v>0</v>
      </c>
      <c r="CA75" s="44">
        <f t="shared" si="17"/>
        <v>20636321</v>
      </c>
    </row>
    <row r="76" spans="1:79" x14ac:dyDescent="0.25">
      <c r="A76" s="52" t="s">
        <v>223</v>
      </c>
      <c r="B76" s="52" t="s">
        <v>224</v>
      </c>
      <c r="AM76" s="44"/>
      <c r="CA76" s="44">
        <f t="shared" si="17"/>
        <v>0</v>
      </c>
    </row>
    <row r="77" spans="1:79" x14ac:dyDescent="0.25">
      <c r="A77" s="52" t="s">
        <v>225</v>
      </c>
      <c r="B77" s="52" t="s">
        <v>226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44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0</v>
      </c>
      <c r="AU77" s="37">
        <v>0</v>
      </c>
      <c r="AV77" s="37">
        <v>0</v>
      </c>
      <c r="AW77" s="37">
        <v>0</v>
      </c>
      <c r="AX77" s="37">
        <v>0</v>
      </c>
      <c r="AY77" s="37">
        <v>0</v>
      </c>
      <c r="AZ77" s="37">
        <v>0</v>
      </c>
      <c r="BA77" s="37">
        <v>0</v>
      </c>
      <c r="BB77" s="37">
        <v>0</v>
      </c>
      <c r="BC77" s="37">
        <v>0</v>
      </c>
      <c r="BD77" s="37">
        <v>0</v>
      </c>
      <c r="BE77" s="37">
        <v>0</v>
      </c>
      <c r="BF77" s="37">
        <v>0</v>
      </c>
      <c r="BG77" s="37">
        <v>0</v>
      </c>
      <c r="BH77" s="37">
        <v>0</v>
      </c>
      <c r="BI77" s="37">
        <v>0</v>
      </c>
      <c r="BJ77" s="37">
        <v>0</v>
      </c>
      <c r="BK77" s="37">
        <v>0</v>
      </c>
      <c r="BL77" s="37">
        <v>0</v>
      </c>
      <c r="BM77" s="37">
        <v>0</v>
      </c>
      <c r="BN77" s="37">
        <v>0</v>
      </c>
      <c r="BO77" s="37">
        <v>0</v>
      </c>
      <c r="BP77" s="37">
        <v>0</v>
      </c>
      <c r="BQ77" s="37">
        <v>0</v>
      </c>
      <c r="BR77" s="37">
        <v>0</v>
      </c>
      <c r="BS77" s="37">
        <v>0</v>
      </c>
      <c r="BT77" s="37">
        <v>0</v>
      </c>
      <c r="BU77" s="37">
        <v>0</v>
      </c>
      <c r="BV77" s="37">
        <v>0</v>
      </c>
      <c r="BW77" s="37">
        <v>0</v>
      </c>
      <c r="BX77" s="37">
        <v>0</v>
      </c>
      <c r="BY77" s="37">
        <v>0</v>
      </c>
      <c r="BZ77" s="37">
        <v>0</v>
      </c>
      <c r="CA77" s="44">
        <f t="shared" si="17"/>
        <v>0</v>
      </c>
    </row>
    <row r="78" spans="1:79" x14ac:dyDescent="0.25">
      <c r="A78" s="52" t="s">
        <v>227</v>
      </c>
      <c r="B78" s="52" t="s">
        <v>228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43">
        <v>7850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43">
        <v>-9154</v>
      </c>
      <c r="X78" s="37">
        <v>0</v>
      </c>
      <c r="Y78" s="37">
        <v>0</v>
      </c>
      <c r="Z78" s="37">
        <v>0</v>
      </c>
      <c r="AA78" s="43">
        <v>11947</v>
      </c>
      <c r="AB78" s="37">
        <v>0</v>
      </c>
      <c r="AC78" s="37">
        <v>0</v>
      </c>
      <c r="AD78" s="43">
        <v>49594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44">
        <v>10699</v>
      </c>
      <c r="AN78" s="37">
        <v>0</v>
      </c>
      <c r="AO78" s="37">
        <v>0</v>
      </c>
      <c r="AP78" s="43">
        <v>12865</v>
      </c>
      <c r="AQ78" s="37">
        <v>0</v>
      </c>
      <c r="AR78" s="37">
        <v>0</v>
      </c>
      <c r="AS78" s="37">
        <v>0</v>
      </c>
      <c r="AT78" s="37">
        <v>0</v>
      </c>
      <c r="AU78" s="37">
        <v>0</v>
      </c>
      <c r="AV78" s="37">
        <v>0</v>
      </c>
      <c r="AW78" s="37">
        <v>0</v>
      </c>
      <c r="AX78" s="37">
        <v>0</v>
      </c>
      <c r="AY78" s="37">
        <v>0</v>
      </c>
      <c r="AZ78" s="37">
        <v>0</v>
      </c>
      <c r="BA78" s="37">
        <v>0</v>
      </c>
      <c r="BB78" s="37">
        <v>0</v>
      </c>
      <c r="BC78" s="37">
        <v>0</v>
      </c>
      <c r="BD78" s="37">
        <v>0</v>
      </c>
      <c r="BE78" s="43">
        <v>5478</v>
      </c>
      <c r="BF78" s="43">
        <v>7671</v>
      </c>
      <c r="BG78" s="43">
        <v>88319</v>
      </c>
      <c r="BH78" s="37">
        <v>0</v>
      </c>
      <c r="BI78" s="37">
        <v>0</v>
      </c>
      <c r="BJ78" s="37">
        <v>0</v>
      </c>
      <c r="BK78" s="37">
        <v>0</v>
      </c>
      <c r="BL78" s="37">
        <v>0</v>
      </c>
      <c r="BM78" s="37">
        <v>0</v>
      </c>
      <c r="BN78" s="37">
        <v>0</v>
      </c>
      <c r="BO78" s="37">
        <v>0</v>
      </c>
      <c r="BP78" s="37">
        <v>0</v>
      </c>
      <c r="BQ78" s="37">
        <v>0</v>
      </c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44">
        <f t="shared" si="17"/>
        <v>185269</v>
      </c>
    </row>
    <row r="79" spans="1:79" x14ac:dyDescent="0.25">
      <c r="A79" s="52" t="s">
        <v>229</v>
      </c>
      <c r="B79" s="52" t="s">
        <v>230</v>
      </c>
      <c r="C79" s="37">
        <v>0</v>
      </c>
      <c r="D79" s="37">
        <v>0</v>
      </c>
      <c r="E79" s="37">
        <v>0</v>
      </c>
      <c r="F79" s="37">
        <v>278</v>
      </c>
      <c r="G79" s="37">
        <v>0</v>
      </c>
      <c r="H79" s="37">
        <v>0</v>
      </c>
      <c r="I79" s="37">
        <v>0</v>
      </c>
      <c r="J79" s="43">
        <v>8149</v>
      </c>
      <c r="K79" s="43">
        <v>3033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140</v>
      </c>
      <c r="S79" s="43">
        <v>2263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43">
        <v>1489</v>
      </c>
      <c r="Z79" s="37">
        <v>0</v>
      </c>
      <c r="AA79" s="37">
        <v>0</v>
      </c>
      <c r="AB79" s="37">
        <v>0</v>
      </c>
      <c r="AC79" s="43">
        <v>23424</v>
      </c>
      <c r="AD79" s="43">
        <v>3268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44">
        <v>0</v>
      </c>
      <c r="AN79" s="37">
        <v>0</v>
      </c>
      <c r="AO79" s="37">
        <v>0</v>
      </c>
      <c r="AP79" s="37">
        <v>0</v>
      </c>
      <c r="AQ79" s="37">
        <v>546</v>
      </c>
      <c r="AR79" s="37">
        <v>0</v>
      </c>
      <c r="AS79" s="37">
        <v>0</v>
      </c>
      <c r="AT79" s="37">
        <v>0</v>
      </c>
      <c r="AU79" s="37">
        <v>0</v>
      </c>
      <c r="AV79" s="37">
        <v>0</v>
      </c>
      <c r="AW79" s="37">
        <v>0</v>
      </c>
      <c r="AX79" s="37">
        <v>0</v>
      </c>
      <c r="AY79" s="43">
        <v>2071</v>
      </c>
      <c r="AZ79" s="37">
        <v>0</v>
      </c>
      <c r="BA79" s="37">
        <v>0</v>
      </c>
      <c r="BB79" s="43">
        <v>2594</v>
      </c>
      <c r="BC79" s="43">
        <v>2427</v>
      </c>
      <c r="BD79" s="37">
        <v>0</v>
      </c>
      <c r="BE79" s="37">
        <v>0</v>
      </c>
      <c r="BF79" s="43">
        <v>1065</v>
      </c>
      <c r="BG79" s="43">
        <v>23253</v>
      </c>
      <c r="BH79" s="37">
        <v>0</v>
      </c>
      <c r="BI79" s="37">
        <v>0</v>
      </c>
      <c r="BJ79" s="37">
        <v>0</v>
      </c>
      <c r="BK79" s="37">
        <v>0</v>
      </c>
      <c r="BL79" s="37">
        <v>0</v>
      </c>
      <c r="BM79" s="37">
        <v>0</v>
      </c>
      <c r="BN79" s="37">
        <v>0</v>
      </c>
      <c r="BO79" s="37">
        <v>0</v>
      </c>
      <c r="BP79" s="43">
        <v>8625</v>
      </c>
      <c r="BQ79" s="43">
        <v>1371</v>
      </c>
      <c r="BR79" s="37">
        <v>0</v>
      </c>
      <c r="BS79" s="43">
        <v>1301</v>
      </c>
      <c r="BT79" s="37">
        <v>0</v>
      </c>
      <c r="BU79" s="37">
        <v>0</v>
      </c>
      <c r="BV79" s="37">
        <v>0</v>
      </c>
      <c r="BW79" s="37">
        <v>0</v>
      </c>
      <c r="BX79" s="37">
        <v>0</v>
      </c>
      <c r="BY79" s="37">
        <v>0</v>
      </c>
      <c r="BZ79" s="37">
        <v>0</v>
      </c>
      <c r="CA79" s="44">
        <f t="shared" si="17"/>
        <v>85297</v>
      </c>
    </row>
    <row r="80" spans="1:79" x14ac:dyDescent="0.25">
      <c r="A80" s="52" t="s">
        <v>231</v>
      </c>
      <c r="B80" s="52" t="s">
        <v>232</v>
      </c>
      <c r="C80" s="43">
        <v>5298</v>
      </c>
      <c r="D80" s="43">
        <v>9995</v>
      </c>
      <c r="E80" s="37">
        <v>0</v>
      </c>
      <c r="F80" s="43">
        <v>10199</v>
      </c>
      <c r="G80" s="37">
        <v>0</v>
      </c>
      <c r="H80" s="37">
        <v>0</v>
      </c>
      <c r="I80" s="37">
        <v>0</v>
      </c>
      <c r="J80" s="43">
        <v>13801</v>
      </c>
      <c r="K80" s="43">
        <v>2193</v>
      </c>
      <c r="L80" s="37">
        <v>0</v>
      </c>
      <c r="M80" s="37">
        <v>0</v>
      </c>
      <c r="N80" s="43">
        <v>17322</v>
      </c>
      <c r="O80" s="43">
        <v>2972</v>
      </c>
      <c r="P80" s="37">
        <v>0</v>
      </c>
      <c r="Q80" s="43">
        <v>10989</v>
      </c>
      <c r="R80" s="43">
        <v>1399</v>
      </c>
      <c r="S80" s="43">
        <v>13329</v>
      </c>
      <c r="T80" s="37">
        <v>0</v>
      </c>
      <c r="U80" s="37">
        <v>0</v>
      </c>
      <c r="V80" s="43">
        <v>29944</v>
      </c>
      <c r="W80" s="43">
        <v>11835</v>
      </c>
      <c r="X80" s="37">
        <v>0</v>
      </c>
      <c r="Y80" s="37">
        <v>0</v>
      </c>
      <c r="Z80" s="43">
        <v>1670</v>
      </c>
      <c r="AA80" s="37">
        <v>0</v>
      </c>
      <c r="AB80" s="37">
        <v>0</v>
      </c>
      <c r="AC80" s="37">
        <v>0</v>
      </c>
      <c r="AD80" s="43">
        <v>65930</v>
      </c>
      <c r="AE80" s="37">
        <v>0</v>
      </c>
      <c r="AF80" s="37">
        <v>0</v>
      </c>
      <c r="AG80" s="37">
        <v>0</v>
      </c>
      <c r="AH80" s="43">
        <v>5353</v>
      </c>
      <c r="AI80" s="43">
        <v>57937</v>
      </c>
      <c r="AJ80" s="43">
        <v>21480</v>
      </c>
      <c r="AK80" s="37">
        <v>0</v>
      </c>
      <c r="AL80" s="37">
        <v>0</v>
      </c>
      <c r="AM80" s="44">
        <v>0</v>
      </c>
      <c r="AN80" s="43">
        <v>9159</v>
      </c>
      <c r="AO80" s="37">
        <v>0</v>
      </c>
      <c r="AP80" s="43">
        <v>19647</v>
      </c>
      <c r="AQ80" s="43">
        <v>2263</v>
      </c>
      <c r="AR80" s="37">
        <v>0</v>
      </c>
      <c r="AS80" s="37">
        <v>0</v>
      </c>
      <c r="AT80" s="37">
        <v>0</v>
      </c>
      <c r="AU80" s="43">
        <v>1760</v>
      </c>
      <c r="AV80" s="43">
        <v>7363</v>
      </c>
      <c r="AW80" s="37">
        <v>0</v>
      </c>
      <c r="AX80" s="37">
        <v>0</v>
      </c>
      <c r="AY80" s="37">
        <v>0</v>
      </c>
      <c r="AZ80" s="37">
        <v>0</v>
      </c>
      <c r="BA80" s="37">
        <v>0</v>
      </c>
      <c r="BB80" s="43">
        <v>2077</v>
      </c>
      <c r="BC80" s="43">
        <v>20036</v>
      </c>
      <c r="BD80" s="43">
        <v>6241</v>
      </c>
      <c r="BE80" s="37">
        <v>0</v>
      </c>
      <c r="BF80" s="43">
        <v>13565</v>
      </c>
      <c r="BG80" s="37">
        <v>0</v>
      </c>
      <c r="BH80" s="43">
        <v>13843</v>
      </c>
      <c r="BI80" s="37">
        <v>0</v>
      </c>
      <c r="BJ80" s="37">
        <v>0</v>
      </c>
      <c r="BK80" s="37">
        <v>0</v>
      </c>
      <c r="BL80" s="37">
        <v>0</v>
      </c>
      <c r="BM80" s="37">
        <v>0</v>
      </c>
      <c r="BN80" s="37">
        <v>0</v>
      </c>
      <c r="BO80" s="37">
        <v>0</v>
      </c>
      <c r="BP80" s="43">
        <v>10073</v>
      </c>
      <c r="BQ80" s="43">
        <v>1409</v>
      </c>
      <c r="BR80" s="37">
        <v>0</v>
      </c>
      <c r="BS80" s="43">
        <v>2074</v>
      </c>
      <c r="BT80" s="37">
        <v>0</v>
      </c>
      <c r="BU80" s="43">
        <v>5234</v>
      </c>
      <c r="BV80" s="43">
        <v>9375</v>
      </c>
      <c r="BW80" s="37">
        <v>0</v>
      </c>
      <c r="BX80" s="37">
        <v>0</v>
      </c>
      <c r="BY80" s="37">
        <v>0</v>
      </c>
      <c r="BZ80" s="37">
        <v>0</v>
      </c>
      <c r="CA80" s="44">
        <f t="shared" si="17"/>
        <v>405765</v>
      </c>
    </row>
    <row r="81" spans="1:79" x14ac:dyDescent="0.25">
      <c r="A81" s="52" t="s">
        <v>233</v>
      </c>
      <c r="B81" s="52" t="s">
        <v>234</v>
      </c>
      <c r="C81" s="43">
        <v>334000</v>
      </c>
      <c r="D81" s="43">
        <v>2307743</v>
      </c>
      <c r="E81" s="43">
        <v>136004</v>
      </c>
      <c r="F81" s="43">
        <v>703110</v>
      </c>
      <c r="G81" s="43">
        <v>309109</v>
      </c>
      <c r="H81" s="43">
        <v>381549</v>
      </c>
      <c r="I81" s="37">
        <v>0</v>
      </c>
      <c r="J81" s="43">
        <v>1114397</v>
      </c>
      <c r="K81" s="43">
        <v>262606</v>
      </c>
      <c r="L81" s="43">
        <v>279807</v>
      </c>
      <c r="M81" s="43">
        <v>130864</v>
      </c>
      <c r="N81" s="43">
        <v>1427135</v>
      </c>
      <c r="O81" s="43">
        <v>2333482</v>
      </c>
      <c r="P81" s="43">
        <v>206967</v>
      </c>
      <c r="Q81" s="43">
        <v>3160464</v>
      </c>
      <c r="R81" s="43">
        <v>661920</v>
      </c>
      <c r="S81" s="43">
        <v>639928</v>
      </c>
      <c r="T81" s="43">
        <v>900581</v>
      </c>
      <c r="U81" s="37">
        <v>0</v>
      </c>
      <c r="V81" s="43">
        <v>776512</v>
      </c>
      <c r="W81" s="43">
        <v>1177926</v>
      </c>
      <c r="X81" s="43">
        <v>117228</v>
      </c>
      <c r="Y81" s="43">
        <v>341021</v>
      </c>
      <c r="Z81" s="43">
        <v>1575790</v>
      </c>
      <c r="AA81" s="43">
        <v>264332</v>
      </c>
      <c r="AB81" s="43">
        <v>590752</v>
      </c>
      <c r="AC81" s="43">
        <v>500431</v>
      </c>
      <c r="AD81" s="43">
        <v>1048643</v>
      </c>
      <c r="AE81" s="43">
        <v>99695</v>
      </c>
      <c r="AF81" s="43">
        <v>248682</v>
      </c>
      <c r="AG81" s="43">
        <v>78277</v>
      </c>
      <c r="AH81" s="43">
        <v>898709</v>
      </c>
      <c r="AI81" s="43">
        <v>5854492</v>
      </c>
      <c r="AJ81" s="43">
        <v>739715</v>
      </c>
      <c r="AK81" s="43">
        <v>79965</v>
      </c>
      <c r="AL81" s="43">
        <v>106617</v>
      </c>
      <c r="AM81" s="44">
        <v>311325</v>
      </c>
      <c r="AN81" s="43">
        <v>3729288</v>
      </c>
      <c r="AO81" s="37">
        <v>0</v>
      </c>
      <c r="AP81" s="43">
        <v>977456</v>
      </c>
      <c r="AQ81" s="43">
        <v>951101</v>
      </c>
      <c r="AR81" s="43">
        <v>697549</v>
      </c>
      <c r="AS81" s="43">
        <v>282979</v>
      </c>
      <c r="AT81" s="43">
        <v>416092</v>
      </c>
      <c r="AU81" s="43">
        <v>2643766</v>
      </c>
      <c r="AV81" s="43">
        <v>832572</v>
      </c>
      <c r="AW81" s="43">
        <v>233194</v>
      </c>
      <c r="AX81" s="43">
        <v>466094</v>
      </c>
      <c r="AY81" s="43">
        <v>1532252</v>
      </c>
      <c r="AZ81" s="43">
        <v>148136</v>
      </c>
      <c r="BA81" s="43">
        <v>675579</v>
      </c>
      <c r="BB81" s="43">
        <v>640430</v>
      </c>
      <c r="BC81" s="43">
        <v>600682</v>
      </c>
      <c r="BD81" s="43">
        <v>1090578</v>
      </c>
      <c r="BE81" s="43">
        <v>1673920</v>
      </c>
      <c r="BF81" s="43">
        <v>1578446</v>
      </c>
      <c r="BG81" s="43">
        <v>1771680</v>
      </c>
      <c r="BH81" s="43">
        <v>1720184</v>
      </c>
      <c r="BI81" s="43">
        <v>245501</v>
      </c>
      <c r="BJ81" s="43">
        <v>325576</v>
      </c>
      <c r="BK81" s="43">
        <v>791539</v>
      </c>
      <c r="BL81" s="43">
        <v>300103</v>
      </c>
      <c r="BM81" s="43">
        <v>229734</v>
      </c>
      <c r="BN81" s="43">
        <v>595883</v>
      </c>
      <c r="BO81" s="43">
        <v>723414</v>
      </c>
      <c r="BP81" s="43">
        <v>831217</v>
      </c>
      <c r="BQ81" s="43">
        <v>1618642</v>
      </c>
      <c r="BR81" s="43">
        <v>408657</v>
      </c>
      <c r="BS81" s="43">
        <v>582986</v>
      </c>
      <c r="BT81" s="43">
        <v>546097</v>
      </c>
      <c r="BU81" s="43">
        <v>563089</v>
      </c>
      <c r="BV81" s="43">
        <v>1283086</v>
      </c>
      <c r="BW81" s="43">
        <v>657059</v>
      </c>
      <c r="BX81" s="37">
        <v>0</v>
      </c>
      <c r="BY81" s="37">
        <v>0</v>
      </c>
      <c r="BZ81" s="37">
        <v>0</v>
      </c>
      <c r="CA81" s="44">
        <f t="shared" si="17"/>
        <v>62464339</v>
      </c>
    </row>
    <row r="82" spans="1:79" x14ac:dyDescent="0.25">
      <c r="A82" s="52" t="s">
        <v>235</v>
      </c>
      <c r="B82" s="52" t="s">
        <v>236</v>
      </c>
      <c r="C82" s="37">
        <v>719</v>
      </c>
      <c r="D82" s="43">
        <v>6675</v>
      </c>
      <c r="E82" s="37">
        <v>363</v>
      </c>
      <c r="F82" s="37">
        <v>0</v>
      </c>
      <c r="G82" s="37">
        <v>0</v>
      </c>
      <c r="H82" s="37">
        <v>0</v>
      </c>
      <c r="I82" s="43">
        <v>330440</v>
      </c>
      <c r="J82" s="43">
        <v>2724</v>
      </c>
      <c r="K82" s="37">
        <v>0</v>
      </c>
      <c r="L82" s="37">
        <v>0</v>
      </c>
      <c r="M82" s="37">
        <v>442</v>
      </c>
      <c r="N82" s="37">
        <v>0</v>
      </c>
      <c r="O82" s="43">
        <v>6975</v>
      </c>
      <c r="P82" s="37">
        <v>0</v>
      </c>
      <c r="Q82" s="43">
        <v>8314</v>
      </c>
      <c r="R82" s="43">
        <v>2703</v>
      </c>
      <c r="S82" s="43">
        <v>1717</v>
      </c>
      <c r="T82" s="43">
        <v>1780</v>
      </c>
      <c r="U82" s="37">
        <v>0</v>
      </c>
      <c r="V82" s="37">
        <v>0</v>
      </c>
      <c r="W82" s="43">
        <v>3375</v>
      </c>
      <c r="X82" s="37">
        <v>0</v>
      </c>
      <c r="Y82" s="37">
        <v>0</v>
      </c>
      <c r="Z82" s="43">
        <v>5892</v>
      </c>
      <c r="AA82" s="43">
        <v>1122</v>
      </c>
      <c r="AB82" s="43">
        <v>8601</v>
      </c>
      <c r="AC82" s="37">
        <v>807</v>
      </c>
      <c r="AD82" s="43">
        <v>3838</v>
      </c>
      <c r="AE82" s="37">
        <v>0</v>
      </c>
      <c r="AF82" s="43">
        <v>1058</v>
      </c>
      <c r="AG82" s="37">
        <v>0</v>
      </c>
      <c r="AH82" s="37">
        <v>0</v>
      </c>
      <c r="AI82" s="37">
        <v>0</v>
      </c>
      <c r="AJ82" s="43">
        <v>2010</v>
      </c>
      <c r="AK82" s="37">
        <v>0</v>
      </c>
      <c r="AL82" s="37">
        <v>0</v>
      </c>
      <c r="AM82" s="44">
        <v>855</v>
      </c>
      <c r="AN82" s="43">
        <v>9399</v>
      </c>
      <c r="AO82" s="37">
        <v>0</v>
      </c>
      <c r="AP82" s="43">
        <v>2303</v>
      </c>
      <c r="AQ82" s="37">
        <v>0</v>
      </c>
      <c r="AR82" s="37">
        <v>0</v>
      </c>
      <c r="AS82" s="37">
        <v>0</v>
      </c>
      <c r="AT82" s="43">
        <v>1486</v>
      </c>
      <c r="AU82" s="43">
        <v>4101</v>
      </c>
      <c r="AV82" s="43">
        <v>2185</v>
      </c>
      <c r="AW82" s="37">
        <v>471</v>
      </c>
      <c r="AX82" s="37">
        <v>863</v>
      </c>
      <c r="AY82" s="43">
        <v>2595</v>
      </c>
      <c r="AZ82" s="37">
        <v>0</v>
      </c>
      <c r="BA82" s="43">
        <v>1402</v>
      </c>
      <c r="BB82" s="37">
        <v>0</v>
      </c>
      <c r="BC82" s="37">
        <v>0</v>
      </c>
      <c r="BD82" s="43">
        <v>2351</v>
      </c>
      <c r="BE82" s="37">
        <v>0</v>
      </c>
      <c r="BF82" s="43">
        <v>3281</v>
      </c>
      <c r="BG82" s="43">
        <v>6383</v>
      </c>
      <c r="BH82" s="43">
        <v>5374</v>
      </c>
      <c r="BI82" s="37">
        <v>0</v>
      </c>
      <c r="BJ82" s="37">
        <v>981</v>
      </c>
      <c r="BK82" s="43">
        <v>2644</v>
      </c>
      <c r="BL82" s="37">
        <v>683</v>
      </c>
      <c r="BM82" s="37">
        <v>591</v>
      </c>
      <c r="BN82" s="43">
        <v>18698</v>
      </c>
      <c r="BO82" s="43">
        <v>2476</v>
      </c>
      <c r="BP82" s="43">
        <v>1723</v>
      </c>
      <c r="BQ82" s="43">
        <v>7006</v>
      </c>
      <c r="BR82" s="43">
        <v>1022</v>
      </c>
      <c r="BS82" s="43">
        <v>1315</v>
      </c>
      <c r="BT82" s="43">
        <v>1127</v>
      </c>
      <c r="BU82" s="37">
        <v>0</v>
      </c>
      <c r="BV82" s="43">
        <v>3915</v>
      </c>
      <c r="BW82" s="37">
        <v>0</v>
      </c>
      <c r="BX82" s="37">
        <v>0</v>
      </c>
      <c r="BY82" s="37">
        <v>0</v>
      </c>
      <c r="BZ82" s="37">
        <v>0</v>
      </c>
      <c r="CA82" s="44">
        <f t="shared" si="17"/>
        <v>474785</v>
      </c>
    </row>
    <row r="83" spans="1:79" x14ac:dyDescent="0.25">
      <c r="A83" s="52" t="s">
        <v>237</v>
      </c>
      <c r="B83" s="52" t="s">
        <v>238</v>
      </c>
      <c r="C83" s="43">
        <v>16961</v>
      </c>
      <c r="D83" s="43">
        <v>100595</v>
      </c>
      <c r="E83" s="43">
        <v>9358</v>
      </c>
      <c r="F83" s="43">
        <v>27488</v>
      </c>
      <c r="G83" s="43">
        <v>14621</v>
      </c>
      <c r="H83" s="43">
        <v>17546</v>
      </c>
      <c r="I83" s="43">
        <v>12282</v>
      </c>
      <c r="J83" s="43">
        <v>49712</v>
      </c>
      <c r="K83" s="43">
        <v>16961</v>
      </c>
      <c r="L83" s="43">
        <v>14621</v>
      </c>
      <c r="M83" s="43">
        <v>9358</v>
      </c>
      <c r="N83" s="43">
        <v>76616</v>
      </c>
      <c r="O83" s="43">
        <v>111707</v>
      </c>
      <c r="P83" s="43">
        <v>11697</v>
      </c>
      <c r="Q83" s="43">
        <v>150307</v>
      </c>
      <c r="R83" s="43">
        <v>29827</v>
      </c>
      <c r="S83" s="43">
        <v>27488</v>
      </c>
      <c r="T83" s="43">
        <v>56146</v>
      </c>
      <c r="U83" s="37">
        <v>0</v>
      </c>
      <c r="V83" s="43">
        <v>40355</v>
      </c>
      <c r="W83" s="43">
        <v>55561</v>
      </c>
      <c r="X83" s="43">
        <v>4679</v>
      </c>
      <c r="Y83" s="43">
        <v>17546</v>
      </c>
      <c r="Z83" s="43">
        <v>76616</v>
      </c>
      <c r="AA83" s="43">
        <v>17546</v>
      </c>
      <c r="AB83" s="43">
        <v>27488</v>
      </c>
      <c r="AC83" s="43">
        <v>24564</v>
      </c>
      <c r="AD83" s="43">
        <v>46788</v>
      </c>
      <c r="AE83" s="43">
        <v>6433</v>
      </c>
      <c r="AF83" s="43">
        <v>14036</v>
      </c>
      <c r="AG83" s="43">
        <v>5849</v>
      </c>
      <c r="AH83" s="43">
        <v>49712</v>
      </c>
      <c r="AI83" s="43">
        <v>206453</v>
      </c>
      <c r="AJ83" s="43">
        <v>28073</v>
      </c>
      <c r="AK83" s="43">
        <v>4679</v>
      </c>
      <c r="AL83" s="43">
        <v>4679</v>
      </c>
      <c r="AM83" s="44">
        <v>16961</v>
      </c>
      <c r="AN83" s="43">
        <v>195340</v>
      </c>
      <c r="AO83" s="37">
        <v>0</v>
      </c>
      <c r="AP83" s="43">
        <v>57315</v>
      </c>
      <c r="AQ83" s="43">
        <v>45034</v>
      </c>
      <c r="AR83" s="43">
        <v>30412</v>
      </c>
      <c r="AS83" s="43">
        <v>15791</v>
      </c>
      <c r="AT83" s="43">
        <v>23394</v>
      </c>
      <c r="AU83" s="43">
        <v>101764</v>
      </c>
      <c r="AV83" s="43">
        <v>42109</v>
      </c>
      <c r="AW83" s="43">
        <v>11112</v>
      </c>
      <c r="AX83" s="43">
        <v>22809</v>
      </c>
      <c r="AY83" s="43">
        <v>59655</v>
      </c>
      <c r="AZ83" s="43">
        <v>7603</v>
      </c>
      <c r="BA83" s="43">
        <v>32167</v>
      </c>
      <c r="BB83" s="43">
        <v>26903</v>
      </c>
      <c r="BC83" s="43">
        <v>33921</v>
      </c>
      <c r="BD83" s="43">
        <v>54976</v>
      </c>
      <c r="BE83" s="43">
        <v>98840</v>
      </c>
      <c r="BF83" s="43">
        <v>60240</v>
      </c>
      <c r="BG83" s="43">
        <v>100594</v>
      </c>
      <c r="BH83" s="43">
        <v>74276</v>
      </c>
      <c r="BI83" s="43">
        <v>11697</v>
      </c>
      <c r="BJ83" s="43">
        <v>17546</v>
      </c>
      <c r="BK83" s="43">
        <v>30997</v>
      </c>
      <c r="BL83" s="43">
        <v>13452</v>
      </c>
      <c r="BM83" s="43">
        <v>14621</v>
      </c>
      <c r="BN83" s="43">
        <v>23394</v>
      </c>
      <c r="BO83" s="43">
        <v>25733</v>
      </c>
      <c r="BP83" s="43">
        <v>38015</v>
      </c>
      <c r="BQ83" s="43">
        <v>71937</v>
      </c>
      <c r="BR83" s="43">
        <v>21640</v>
      </c>
      <c r="BS83" s="43">
        <v>34506</v>
      </c>
      <c r="BT83" s="43">
        <v>24564</v>
      </c>
      <c r="BU83" s="43">
        <v>28658</v>
      </c>
      <c r="BV83" s="43">
        <v>59070</v>
      </c>
      <c r="BW83" s="43">
        <v>38015</v>
      </c>
      <c r="BX83" s="37">
        <v>0</v>
      </c>
      <c r="BY83" s="37">
        <v>0</v>
      </c>
      <c r="BZ83" s="37">
        <v>0</v>
      </c>
      <c r="CA83" s="44">
        <f t="shared" si="17"/>
        <v>2949409</v>
      </c>
    </row>
    <row r="84" spans="1:79" x14ac:dyDescent="0.25">
      <c r="A84" s="52" t="s">
        <v>239</v>
      </c>
      <c r="B84" s="52" t="s">
        <v>240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44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0</v>
      </c>
      <c r="AW84" s="37">
        <v>0</v>
      </c>
      <c r="AX84" s="37">
        <v>0</v>
      </c>
      <c r="AY84" s="37">
        <v>0</v>
      </c>
      <c r="AZ84" s="37">
        <v>0</v>
      </c>
      <c r="BA84" s="37">
        <v>0</v>
      </c>
      <c r="BB84" s="37">
        <v>0</v>
      </c>
      <c r="BC84" s="37">
        <v>0</v>
      </c>
      <c r="BD84" s="37">
        <v>0</v>
      </c>
      <c r="BE84" s="37">
        <v>0</v>
      </c>
      <c r="BF84" s="37">
        <v>0</v>
      </c>
      <c r="BG84" s="37">
        <v>0</v>
      </c>
      <c r="BH84" s="37">
        <v>0</v>
      </c>
      <c r="BI84" s="37">
        <v>0</v>
      </c>
      <c r="BJ84" s="37">
        <v>0</v>
      </c>
      <c r="BK84" s="37">
        <v>0</v>
      </c>
      <c r="BL84" s="37">
        <v>0</v>
      </c>
      <c r="BM84" s="37">
        <v>0</v>
      </c>
      <c r="BN84" s="37">
        <v>0</v>
      </c>
      <c r="BO84" s="37">
        <v>0</v>
      </c>
      <c r="BP84" s="37">
        <v>0</v>
      </c>
      <c r="BQ84" s="37">
        <v>0</v>
      </c>
      <c r="BR84" s="37">
        <v>0</v>
      </c>
      <c r="BS84" s="37">
        <v>0</v>
      </c>
      <c r="BT84" s="37">
        <v>0</v>
      </c>
      <c r="BU84" s="37">
        <v>0</v>
      </c>
      <c r="BV84" s="37">
        <v>0</v>
      </c>
      <c r="BW84" s="37">
        <v>0</v>
      </c>
      <c r="BX84" s="37">
        <v>0</v>
      </c>
      <c r="BY84" s="37">
        <v>0</v>
      </c>
      <c r="BZ84" s="37">
        <v>0</v>
      </c>
      <c r="CA84" s="44">
        <f t="shared" si="17"/>
        <v>0</v>
      </c>
    </row>
    <row r="85" spans="1:79" x14ac:dyDescent="0.25">
      <c r="A85" s="52" t="s">
        <v>241</v>
      </c>
      <c r="B85" s="52" t="s">
        <v>242</v>
      </c>
      <c r="C85" s="43">
        <v>2379951</v>
      </c>
      <c r="D85" s="37">
        <v>0</v>
      </c>
      <c r="E85" s="43">
        <v>100000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43">
        <v>1668834</v>
      </c>
      <c r="L85" s="37">
        <v>0</v>
      </c>
      <c r="M85" s="43">
        <v>2715717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44">
        <v>850674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37">
        <v>0</v>
      </c>
      <c r="BI85" s="43">
        <v>2987367</v>
      </c>
      <c r="BJ85" s="37">
        <v>0</v>
      </c>
      <c r="BK85" s="37">
        <v>0</v>
      </c>
      <c r="BL85" s="37">
        <v>0</v>
      </c>
      <c r="BM85" s="37">
        <v>0</v>
      </c>
      <c r="BN85" s="37">
        <v>0</v>
      </c>
      <c r="BO85" s="37">
        <v>0</v>
      </c>
      <c r="BP85" s="37">
        <v>0</v>
      </c>
      <c r="BQ85" s="37">
        <v>0</v>
      </c>
      <c r="BR85" s="37">
        <v>0</v>
      </c>
      <c r="BS85" s="43">
        <v>6122100</v>
      </c>
      <c r="BT85" s="37">
        <v>0</v>
      </c>
      <c r="BU85" s="37">
        <v>0</v>
      </c>
      <c r="BV85" s="37">
        <v>0</v>
      </c>
      <c r="BW85" s="37">
        <v>0</v>
      </c>
      <c r="BX85" s="37">
        <v>0</v>
      </c>
      <c r="BY85" s="37">
        <v>0</v>
      </c>
      <c r="BZ85" s="37">
        <v>0</v>
      </c>
      <c r="CA85" s="44">
        <f t="shared" si="17"/>
        <v>16824643</v>
      </c>
    </row>
    <row r="86" spans="1:79" x14ac:dyDescent="0.25">
      <c r="A86" s="52" t="s">
        <v>243</v>
      </c>
      <c r="B86" s="52" t="s">
        <v>244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43">
        <v>808993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44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37">
        <v>0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37">
        <v>0</v>
      </c>
      <c r="BD86" s="37">
        <v>0</v>
      </c>
      <c r="BE86" s="37">
        <v>0</v>
      </c>
      <c r="BF86" s="37">
        <v>0</v>
      </c>
      <c r="BG86" s="37">
        <v>0</v>
      </c>
      <c r="BH86" s="37">
        <v>0</v>
      </c>
      <c r="BI86" s="37">
        <v>0</v>
      </c>
      <c r="BJ86" s="37">
        <v>0</v>
      </c>
      <c r="BK86" s="37">
        <v>0</v>
      </c>
      <c r="BL86" s="37">
        <v>0</v>
      </c>
      <c r="BM86" s="37">
        <v>0</v>
      </c>
      <c r="BN86" s="37">
        <v>0</v>
      </c>
      <c r="BO86" s="37">
        <v>0</v>
      </c>
      <c r="BP86" s="37">
        <v>0</v>
      </c>
      <c r="BQ86" s="37">
        <v>0</v>
      </c>
      <c r="BR86" s="37">
        <v>0</v>
      </c>
      <c r="BS86" s="37">
        <v>0</v>
      </c>
      <c r="BT86" s="37">
        <v>0</v>
      </c>
      <c r="BU86" s="37">
        <v>0</v>
      </c>
      <c r="BV86" s="37">
        <v>0</v>
      </c>
      <c r="BW86" s="37">
        <v>0</v>
      </c>
      <c r="BX86" s="37">
        <v>0</v>
      </c>
      <c r="BY86" s="37">
        <v>0</v>
      </c>
      <c r="BZ86" s="37">
        <v>0</v>
      </c>
      <c r="CA86" s="44">
        <f t="shared" si="17"/>
        <v>808993</v>
      </c>
    </row>
    <row r="87" spans="1:79" x14ac:dyDescent="0.25">
      <c r="A87" s="52" t="s">
        <v>245</v>
      </c>
      <c r="B87" s="52" t="s">
        <v>246</v>
      </c>
      <c r="C87" s="43">
        <v>962697</v>
      </c>
      <c r="D87" s="43">
        <v>6936609</v>
      </c>
      <c r="E87" s="43">
        <v>413812</v>
      </c>
      <c r="F87" s="43">
        <v>2698118</v>
      </c>
      <c r="G87" s="43">
        <v>1051761</v>
      </c>
      <c r="H87" s="37">
        <v>0</v>
      </c>
      <c r="I87" s="43">
        <v>912341</v>
      </c>
      <c r="J87" s="43">
        <v>3762827</v>
      </c>
      <c r="K87" s="43">
        <v>805247</v>
      </c>
      <c r="L87" s="43">
        <v>684929</v>
      </c>
      <c r="M87" s="43">
        <v>482138</v>
      </c>
      <c r="N87" s="43">
        <v>6957194</v>
      </c>
      <c r="O87" s="43">
        <v>10358460</v>
      </c>
      <c r="P87" s="43">
        <v>650005</v>
      </c>
      <c r="Q87" s="43">
        <v>15724287</v>
      </c>
      <c r="R87" s="43">
        <v>2739371</v>
      </c>
      <c r="S87" s="43">
        <v>1648000</v>
      </c>
      <c r="T87" s="43">
        <v>2300010</v>
      </c>
      <c r="U87" s="37">
        <v>0</v>
      </c>
      <c r="V87" s="43">
        <v>1600834</v>
      </c>
      <c r="W87" s="43">
        <v>3518426</v>
      </c>
      <c r="X87" s="37">
        <v>0</v>
      </c>
      <c r="Y87" s="43">
        <v>1151409</v>
      </c>
      <c r="Z87" s="43">
        <v>6608058</v>
      </c>
      <c r="AA87" s="43">
        <v>894946</v>
      </c>
      <c r="AB87" s="43">
        <v>1177205</v>
      </c>
      <c r="AC87" s="43">
        <v>1223422</v>
      </c>
      <c r="AD87" s="43">
        <v>5263303</v>
      </c>
      <c r="AE87" s="43">
        <v>373350</v>
      </c>
      <c r="AF87" s="43">
        <v>1051045</v>
      </c>
      <c r="AG87" s="43">
        <v>418289</v>
      </c>
      <c r="AH87" s="43">
        <v>2994741</v>
      </c>
      <c r="AI87" s="43">
        <v>22113348</v>
      </c>
      <c r="AJ87" s="43">
        <v>3023024</v>
      </c>
      <c r="AK87" s="43">
        <v>299257</v>
      </c>
      <c r="AL87" s="43">
        <v>465425</v>
      </c>
      <c r="AM87" s="44">
        <v>787741</v>
      </c>
      <c r="AN87" s="43">
        <v>14655782</v>
      </c>
      <c r="AO87" s="37">
        <v>0</v>
      </c>
      <c r="AP87" s="43">
        <v>3107316</v>
      </c>
      <c r="AQ87" s="43">
        <v>4402364</v>
      </c>
      <c r="AR87" s="43">
        <v>1800481</v>
      </c>
      <c r="AS87" s="43">
        <v>908730</v>
      </c>
      <c r="AT87" s="43">
        <v>686745</v>
      </c>
      <c r="AU87" s="43">
        <v>9773972</v>
      </c>
      <c r="AV87" s="43">
        <v>2689532</v>
      </c>
      <c r="AW87" s="43">
        <v>789826</v>
      </c>
      <c r="AX87" s="43">
        <v>1053114</v>
      </c>
      <c r="AY87" s="43">
        <v>6128091</v>
      </c>
      <c r="AZ87" s="43">
        <v>317980</v>
      </c>
      <c r="BA87" s="43">
        <v>1295541</v>
      </c>
      <c r="BB87" s="43">
        <v>1166257</v>
      </c>
      <c r="BC87" s="43">
        <v>2070267</v>
      </c>
      <c r="BD87" s="43">
        <v>3415990</v>
      </c>
      <c r="BE87" s="43">
        <v>4701259</v>
      </c>
      <c r="BF87" s="43">
        <v>4473714</v>
      </c>
      <c r="BG87" s="43">
        <v>9966125</v>
      </c>
      <c r="BH87" s="43">
        <v>8836787</v>
      </c>
      <c r="BI87" s="43">
        <v>748414</v>
      </c>
      <c r="BJ87" s="43">
        <v>1469221</v>
      </c>
      <c r="BK87" s="43">
        <v>2913731</v>
      </c>
      <c r="BL87" s="43">
        <v>1030389</v>
      </c>
      <c r="BM87" s="43">
        <v>772498</v>
      </c>
      <c r="BN87" s="43">
        <v>2617777</v>
      </c>
      <c r="BO87" s="43">
        <v>3582946</v>
      </c>
      <c r="BP87" s="43">
        <v>2979853</v>
      </c>
      <c r="BQ87" s="43">
        <v>4839255</v>
      </c>
      <c r="BR87" s="43">
        <v>1069743</v>
      </c>
      <c r="BS87" s="43">
        <v>1130840</v>
      </c>
      <c r="BT87" s="43">
        <v>1712044</v>
      </c>
      <c r="BU87" s="43">
        <v>2825120</v>
      </c>
      <c r="BV87" s="43">
        <v>5329576</v>
      </c>
      <c r="BW87" s="43">
        <v>4824559</v>
      </c>
      <c r="BX87" s="43">
        <f>1710929-119955-119955-168003-113069-99903-283451-23636</f>
        <v>782957</v>
      </c>
      <c r="BY87" s="43">
        <f>2733679-104037-41361-509159-50448-215560-446274</f>
        <v>1366840</v>
      </c>
      <c r="BZ87" s="43">
        <f>664472-47759-242294</f>
        <v>374419</v>
      </c>
      <c r="CA87" s="44">
        <f t="shared" si="17"/>
        <v>234661684</v>
      </c>
    </row>
    <row r="88" spans="1:79" x14ac:dyDescent="0.25">
      <c r="A88" s="52" t="s">
        <v>247</v>
      </c>
      <c r="B88" s="52" t="s">
        <v>248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44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37">
        <v>0</v>
      </c>
      <c r="AT88" s="37">
        <v>0</v>
      </c>
      <c r="AU88" s="37">
        <v>0</v>
      </c>
      <c r="AV88" s="37">
        <v>0</v>
      </c>
      <c r="AW88" s="37">
        <v>0</v>
      </c>
      <c r="AX88" s="37">
        <v>0</v>
      </c>
      <c r="AY88" s="37">
        <v>0</v>
      </c>
      <c r="AZ88" s="37">
        <v>0</v>
      </c>
      <c r="BA88" s="37">
        <v>0</v>
      </c>
      <c r="BB88" s="37">
        <v>0</v>
      </c>
      <c r="BC88" s="37">
        <v>0</v>
      </c>
      <c r="BD88" s="37">
        <v>0</v>
      </c>
      <c r="BE88" s="37">
        <v>0</v>
      </c>
      <c r="BF88" s="37">
        <v>0</v>
      </c>
      <c r="BG88" s="37">
        <v>0</v>
      </c>
      <c r="BH88" s="37">
        <v>0</v>
      </c>
      <c r="BI88" s="37">
        <v>0</v>
      </c>
      <c r="BJ88" s="37">
        <v>0</v>
      </c>
      <c r="BK88" s="37">
        <v>0</v>
      </c>
      <c r="BL88" s="37">
        <v>0</v>
      </c>
      <c r="BM88" s="37">
        <v>0</v>
      </c>
      <c r="BN88" s="37">
        <v>0</v>
      </c>
      <c r="BO88" s="37">
        <v>0</v>
      </c>
      <c r="BP88" s="37">
        <v>0</v>
      </c>
      <c r="BQ88" s="37">
        <v>0</v>
      </c>
      <c r="BR88" s="37">
        <v>0</v>
      </c>
      <c r="BS88" s="37">
        <v>0</v>
      </c>
      <c r="BT88" s="37">
        <v>0</v>
      </c>
      <c r="BU88" s="37">
        <v>0</v>
      </c>
      <c r="BV88" s="37">
        <v>0</v>
      </c>
      <c r="BW88" s="37">
        <v>0</v>
      </c>
      <c r="BX88" s="37">
        <v>0</v>
      </c>
      <c r="BY88" s="37">
        <v>0</v>
      </c>
      <c r="BZ88" s="37">
        <v>0</v>
      </c>
      <c r="CA88" s="44">
        <f t="shared" si="17"/>
        <v>0</v>
      </c>
    </row>
    <row r="89" spans="1:79" x14ac:dyDescent="0.25">
      <c r="A89" s="52" t="s">
        <v>249</v>
      </c>
      <c r="B89" s="52" t="s">
        <v>250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43">
        <v>99428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43">
        <v>12634673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44">
        <v>0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37">
        <v>0</v>
      </c>
      <c r="AT89" s="37">
        <v>0</v>
      </c>
      <c r="AU89" s="37">
        <v>0</v>
      </c>
      <c r="AV89" s="37">
        <v>0</v>
      </c>
      <c r="AW89" s="37">
        <v>0</v>
      </c>
      <c r="AX89" s="37">
        <v>0</v>
      </c>
      <c r="AY89" s="37">
        <v>0</v>
      </c>
      <c r="AZ89" s="37">
        <v>0</v>
      </c>
      <c r="BA89" s="37">
        <v>0</v>
      </c>
      <c r="BB89" s="37">
        <v>0</v>
      </c>
      <c r="BC89" s="37">
        <v>0</v>
      </c>
      <c r="BD89" s="37">
        <v>0</v>
      </c>
      <c r="BE89" s="37">
        <v>0</v>
      </c>
      <c r="BF89" s="37">
        <v>0</v>
      </c>
      <c r="BG89" s="37">
        <v>0</v>
      </c>
      <c r="BH89" s="37">
        <v>0</v>
      </c>
      <c r="BI89" s="37">
        <v>0</v>
      </c>
      <c r="BJ89" s="37">
        <v>0</v>
      </c>
      <c r="BK89" s="37">
        <v>0</v>
      </c>
      <c r="BL89" s="37">
        <v>0</v>
      </c>
      <c r="BM89" s="37">
        <v>0</v>
      </c>
      <c r="BN89" s="37">
        <v>0</v>
      </c>
      <c r="BO89" s="37">
        <v>0</v>
      </c>
      <c r="BP89" s="37">
        <v>0</v>
      </c>
      <c r="BQ89" s="37">
        <v>0</v>
      </c>
      <c r="BR89" s="37">
        <v>0</v>
      </c>
      <c r="BS89" s="37">
        <v>0</v>
      </c>
      <c r="BT89" s="37">
        <v>0</v>
      </c>
      <c r="BU89" s="37">
        <v>0</v>
      </c>
      <c r="BV89" s="37">
        <v>0</v>
      </c>
      <c r="BW89" s="37">
        <v>0</v>
      </c>
      <c r="BX89" s="37">
        <f>725-725</f>
        <v>0</v>
      </c>
      <c r="BY89" s="43">
        <f>21124145-21124145</f>
        <v>0</v>
      </c>
      <c r="BZ89" s="37">
        <v>0</v>
      </c>
      <c r="CA89" s="44">
        <f t="shared" si="17"/>
        <v>12734101</v>
      </c>
    </row>
    <row r="90" spans="1:79" x14ac:dyDescent="0.25">
      <c r="A90" s="52" t="s">
        <v>251</v>
      </c>
      <c r="B90" s="52" t="s">
        <v>252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43">
        <f>86400-9300-15600-2400-34200-24900</f>
        <v>0</v>
      </c>
      <c r="R90" s="37">
        <v>0</v>
      </c>
      <c r="S90" s="43">
        <v>16800</v>
      </c>
      <c r="T90" s="43">
        <v>6300</v>
      </c>
      <c r="U90" s="37">
        <v>0</v>
      </c>
      <c r="V90" s="37">
        <v>0</v>
      </c>
      <c r="W90" s="37">
        <v>900</v>
      </c>
      <c r="X90" s="37">
        <v>300</v>
      </c>
      <c r="Y90" s="43">
        <v>7325</v>
      </c>
      <c r="Z90" s="43">
        <v>69300</v>
      </c>
      <c r="AA90" s="43">
        <v>8700</v>
      </c>
      <c r="AB90" s="37">
        <v>0</v>
      </c>
      <c r="AC90" s="43">
        <v>9000</v>
      </c>
      <c r="AD90" s="43">
        <v>60025</v>
      </c>
      <c r="AE90" s="43">
        <v>2100</v>
      </c>
      <c r="AF90" s="37">
        <v>0</v>
      </c>
      <c r="AG90" s="37">
        <v>0</v>
      </c>
      <c r="AH90" s="43">
        <v>21000</v>
      </c>
      <c r="AI90" s="43">
        <v>152100</v>
      </c>
      <c r="AJ90" s="43">
        <v>30900</v>
      </c>
      <c r="AK90" s="43">
        <v>7200</v>
      </c>
      <c r="AL90" s="37">
        <v>0</v>
      </c>
      <c r="AM90" s="44">
        <v>0</v>
      </c>
      <c r="AN90" s="43">
        <f>101700-4200-4200</f>
        <v>93300</v>
      </c>
      <c r="AO90" s="37">
        <v>0</v>
      </c>
      <c r="AP90" s="37">
        <v>0</v>
      </c>
      <c r="AQ90" s="43">
        <v>51325</v>
      </c>
      <c r="AR90" s="43">
        <v>26100</v>
      </c>
      <c r="AS90" s="43">
        <v>11100</v>
      </c>
      <c r="AT90" s="43">
        <v>6600</v>
      </c>
      <c r="AU90" s="37">
        <v>0</v>
      </c>
      <c r="AV90" s="37">
        <v>0</v>
      </c>
      <c r="AW90" s="37">
        <v>0</v>
      </c>
      <c r="AX90" s="37">
        <v>600</v>
      </c>
      <c r="AY90" s="43">
        <v>62100</v>
      </c>
      <c r="AZ90" s="43">
        <v>1800</v>
      </c>
      <c r="BA90" s="37">
        <v>0</v>
      </c>
      <c r="BB90" s="37">
        <v>0</v>
      </c>
      <c r="BC90" s="37">
        <v>0</v>
      </c>
      <c r="BD90" s="43">
        <v>26700</v>
      </c>
      <c r="BE90" s="43">
        <v>12900</v>
      </c>
      <c r="BF90" s="43">
        <v>28800</v>
      </c>
      <c r="BG90" s="43">
        <f>78300-1800</f>
        <v>76500</v>
      </c>
      <c r="BH90" s="43">
        <v>104400</v>
      </c>
      <c r="BI90" s="37">
        <v>0</v>
      </c>
      <c r="BJ90" s="43">
        <v>18600</v>
      </c>
      <c r="BK90" s="43">
        <v>30900</v>
      </c>
      <c r="BL90" s="37">
        <v>0</v>
      </c>
      <c r="BM90" s="43">
        <v>6600</v>
      </c>
      <c r="BN90" s="43">
        <v>33900</v>
      </c>
      <c r="BO90" s="43">
        <v>31800</v>
      </c>
      <c r="BP90" s="43">
        <v>35400</v>
      </c>
      <c r="BQ90" s="43">
        <v>26400</v>
      </c>
      <c r="BR90" s="43">
        <v>9000</v>
      </c>
      <c r="BS90" s="37">
        <v>0</v>
      </c>
      <c r="BT90" s="43">
        <v>1500</v>
      </c>
      <c r="BU90" s="43">
        <v>4200</v>
      </c>
      <c r="BV90" s="43">
        <v>230200</v>
      </c>
      <c r="BW90" s="43">
        <v>420000</v>
      </c>
      <c r="BX90" s="43">
        <f>738375-3900-26100-7800-4800-1800-5700-16500-5100-13500-20400-9000-3600-6300-4200-10500-9300-28800-5400-8400-37500-6000-6900-4800-7200-10200-2475-6600-18300-5100-13200-6900-6000-33000-5700</f>
        <v>377400</v>
      </c>
      <c r="BY90" s="43">
        <f>674400-4200-12600-8700-4800-14100-51000-10800-7200-5400-12000-13200-5700-6600-2700-15900-71100-44700-3600-2400-8400-8100-3900-13200</f>
        <v>344100</v>
      </c>
      <c r="BZ90" s="43">
        <f>41400-5700-26400-9300</f>
        <v>0</v>
      </c>
      <c r="CA90" s="44">
        <f t="shared" si="17"/>
        <v>2464175</v>
      </c>
    </row>
    <row r="91" spans="1:79" x14ac:dyDescent="0.25">
      <c r="A91" s="52" t="s">
        <v>253</v>
      </c>
      <c r="B91" s="52" t="s">
        <v>254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44">
        <v>0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37">
        <v>0</v>
      </c>
      <c r="AV91" s="37">
        <v>0</v>
      </c>
      <c r="AW91" s="37">
        <v>0</v>
      </c>
      <c r="AX91" s="37">
        <v>0</v>
      </c>
      <c r="AY91" s="37">
        <v>0</v>
      </c>
      <c r="AZ91" s="37">
        <v>0</v>
      </c>
      <c r="BA91" s="37">
        <v>0</v>
      </c>
      <c r="BB91" s="37">
        <v>0</v>
      </c>
      <c r="BC91" s="37">
        <v>0</v>
      </c>
      <c r="BD91" s="37">
        <v>0</v>
      </c>
      <c r="BE91" s="37">
        <v>0</v>
      </c>
      <c r="BF91" s="37">
        <v>0</v>
      </c>
      <c r="BG91" s="37">
        <v>0</v>
      </c>
      <c r="BH91" s="37">
        <v>0</v>
      </c>
      <c r="BI91" s="37">
        <v>0</v>
      </c>
      <c r="BJ91" s="37">
        <v>0</v>
      </c>
      <c r="BK91" s="37">
        <v>0</v>
      </c>
      <c r="BL91" s="37">
        <v>0</v>
      </c>
      <c r="BM91" s="37">
        <v>0</v>
      </c>
      <c r="BN91" s="37">
        <v>0</v>
      </c>
      <c r="BO91" s="37">
        <v>0</v>
      </c>
      <c r="BP91" s="37">
        <v>0</v>
      </c>
      <c r="BQ91" s="37">
        <v>0</v>
      </c>
      <c r="BR91" s="37">
        <v>0</v>
      </c>
      <c r="BS91" s="37">
        <v>0</v>
      </c>
      <c r="BT91" s="37">
        <v>0</v>
      </c>
      <c r="BU91" s="37">
        <v>0</v>
      </c>
      <c r="BV91" s="37">
        <v>0</v>
      </c>
      <c r="BW91" s="37">
        <v>0</v>
      </c>
      <c r="BX91" s="37">
        <v>0</v>
      </c>
      <c r="BY91" s="37">
        <v>0</v>
      </c>
      <c r="BZ91" s="37">
        <v>0</v>
      </c>
      <c r="CA91" s="44">
        <f t="shared" si="17"/>
        <v>0</v>
      </c>
    </row>
    <row r="92" spans="1:79" x14ac:dyDescent="0.25">
      <c r="A92" s="52" t="s">
        <v>255</v>
      </c>
      <c r="B92" s="52" t="s">
        <v>256</v>
      </c>
      <c r="AM92" s="44"/>
      <c r="CA92" s="44">
        <f t="shared" si="17"/>
        <v>0</v>
      </c>
    </row>
    <row r="93" spans="1:79" x14ac:dyDescent="0.25">
      <c r="A93" s="52" t="s">
        <v>257</v>
      </c>
      <c r="B93" s="52" t="s">
        <v>258</v>
      </c>
      <c r="C93" s="37">
        <v>0</v>
      </c>
      <c r="D93" s="43">
        <v>1200</v>
      </c>
      <c r="E93" s="37">
        <v>202</v>
      </c>
      <c r="F93" s="37">
        <v>503</v>
      </c>
      <c r="G93" s="37">
        <v>573</v>
      </c>
      <c r="H93" s="37">
        <v>175</v>
      </c>
      <c r="I93" s="37">
        <v>461</v>
      </c>
      <c r="J93" s="43">
        <v>1775</v>
      </c>
      <c r="K93" s="37">
        <v>582</v>
      </c>
      <c r="L93" s="37">
        <v>0</v>
      </c>
      <c r="M93" s="37">
        <v>56</v>
      </c>
      <c r="N93" s="37">
        <v>366</v>
      </c>
      <c r="O93" s="43">
        <v>2975</v>
      </c>
      <c r="P93" s="37">
        <v>0</v>
      </c>
      <c r="Q93" s="43">
        <v>3767</v>
      </c>
      <c r="R93" s="43">
        <v>1330</v>
      </c>
      <c r="S93" s="37">
        <v>474</v>
      </c>
      <c r="T93" s="37">
        <v>903</v>
      </c>
      <c r="U93" s="37">
        <v>0</v>
      </c>
      <c r="V93" s="37">
        <v>0</v>
      </c>
      <c r="W93" s="37">
        <v>0</v>
      </c>
      <c r="X93" s="37">
        <v>177</v>
      </c>
      <c r="Y93" s="37">
        <v>0</v>
      </c>
      <c r="Z93" s="43">
        <v>2065</v>
      </c>
      <c r="AA93" s="37">
        <v>451</v>
      </c>
      <c r="AB93" s="37">
        <v>650</v>
      </c>
      <c r="AC93" s="43">
        <v>1618</v>
      </c>
      <c r="AD93" s="43">
        <v>9841</v>
      </c>
      <c r="AE93" s="37">
        <v>190</v>
      </c>
      <c r="AF93" s="37">
        <v>332</v>
      </c>
      <c r="AG93" s="37">
        <v>199</v>
      </c>
      <c r="AH93" s="43">
        <v>1501</v>
      </c>
      <c r="AI93" s="37">
        <v>0</v>
      </c>
      <c r="AJ93" s="43">
        <v>3585</v>
      </c>
      <c r="AK93" s="37">
        <v>118</v>
      </c>
      <c r="AL93" s="37">
        <v>0</v>
      </c>
      <c r="AM93" s="44">
        <v>722</v>
      </c>
      <c r="AN93" s="43">
        <v>4657</v>
      </c>
      <c r="AO93" s="37">
        <v>0</v>
      </c>
      <c r="AP93" s="43">
        <v>1412</v>
      </c>
      <c r="AQ93" s="43">
        <v>1501</v>
      </c>
      <c r="AR93" s="37">
        <v>0</v>
      </c>
      <c r="AS93" s="37">
        <v>0</v>
      </c>
      <c r="AT93" s="37">
        <v>905</v>
      </c>
      <c r="AU93" s="43">
        <v>3294</v>
      </c>
      <c r="AV93" s="43">
        <v>1247</v>
      </c>
      <c r="AW93" s="37">
        <v>0</v>
      </c>
      <c r="AX93" s="37">
        <v>222</v>
      </c>
      <c r="AY93" s="37">
        <v>615</v>
      </c>
      <c r="AZ93" s="37">
        <v>310</v>
      </c>
      <c r="BA93" s="37">
        <v>815</v>
      </c>
      <c r="BB93" s="37">
        <v>667</v>
      </c>
      <c r="BC93" s="37">
        <v>965</v>
      </c>
      <c r="BD93" s="37">
        <v>0</v>
      </c>
      <c r="BE93" s="43">
        <v>3175</v>
      </c>
      <c r="BF93" s="37">
        <v>0</v>
      </c>
      <c r="BG93" s="37">
        <v>0</v>
      </c>
      <c r="BH93" s="43">
        <v>3839</v>
      </c>
      <c r="BI93" s="37">
        <v>0</v>
      </c>
      <c r="BJ93" s="37">
        <v>0</v>
      </c>
      <c r="BK93" s="37">
        <v>652</v>
      </c>
      <c r="BL93" s="37">
        <v>239</v>
      </c>
      <c r="BM93" s="37">
        <v>339</v>
      </c>
      <c r="BN93" s="37">
        <v>602</v>
      </c>
      <c r="BO93" s="43">
        <v>1159</v>
      </c>
      <c r="BP93" s="43">
        <v>1249</v>
      </c>
      <c r="BQ93" s="43">
        <v>2450</v>
      </c>
      <c r="BR93" s="37">
        <v>0</v>
      </c>
      <c r="BS93" s="37">
        <v>913</v>
      </c>
      <c r="BT93" s="37">
        <v>610</v>
      </c>
      <c r="BU93" s="37">
        <v>0</v>
      </c>
      <c r="BV93" s="43">
        <v>2101</v>
      </c>
      <c r="BW93" s="37">
        <v>828</v>
      </c>
      <c r="BX93" s="43">
        <f>1156-529</f>
        <v>627</v>
      </c>
      <c r="BY93" s="43">
        <f>1404-17-5-8-19-23-16-32-10-4-31-230-115-5-12-16-18-24</f>
        <v>819</v>
      </c>
      <c r="BZ93" s="37">
        <v>0</v>
      </c>
      <c r="CA93" s="44">
        <f t="shared" si="17"/>
        <v>73003</v>
      </c>
    </row>
    <row r="94" spans="1:79" x14ac:dyDescent="0.25">
      <c r="A94" s="52" t="s">
        <v>259</v>
      </c>
      <c r="B94" s="52" t="s">
        <v>260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44">
        <v>0</v>
      </c>
      <c r="AN94" s="37">
        <v>0</v>
      </c>
      <c r="AO94" s="37">
        <v>0</v>
      </c>
      <c r="AP94" s="37">
        <v>0</v>
      </c>
      <c r="AQ94" s="37">
        <v>0</v>
      </c>
      <c r="AR94" s="37">
        <v>0</v>
      </c>
      <c r="AS94" s="37">
        <v>0</v>
      </c>
      <c r="AT94" s="37">
        <v>0</v>
      </c>
      <c r="AU94" s="37">
        <v>0</v>
      </c>
      <c r="AV94" s="37">
        <v>0</v>
      </c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0</v>
      </c>
      <c r="BD94" s="37">
        <v>0</v>
      </c>
      <c r="BE94" s="37">
        <v>0</v>
      </c>
      <c r="BF94" s="37">
        <v>0</v>
      </c>
      <c r="BG94" s="37">
        <v>0</v>
      </c>
      <c r="BH94" s="37">
        <v>0</v>
      </c>
      <c r="BI94" s="37">
        <v>0</v>
      </c>
      <c r="BJ94" s="37">
        <v>0</v>
      </c>
      <c r="BK94" s="37">
        <v>0</v>
      </c>
      <c r="BL94" s="37">
        <v>0</v>
      </c>
      <c r="BM94" s="37">
        <v>0</v>
      </c>
      <c r="BN94" s="37">
        <v>0</v>
      </c>
      <c r="BO94" s="37">
        <v>0</v>
      </c>
      <c r="BP94" s="37">
        <v>0</v>
      </c>
      <c r="BQ94" s="37">
        <v>0</v>
      </c>
      <c r="BR94" s="37">
        <v>0</v>
      </c>
      <c r="BS94" s="37">
        <v>0</v>
      </c>
      <c r="BT94" s="37">
        <v>0</v>
      </c>
      <c r="BU94" s="37">
        <v>0</v>
      </c>
      <c r="BV94" s="37">
        <v>0</v>
      </c>
      <c r="BW94" s="37">
        <v>0</v>
      </c>
      <c r="BX94" s="37">
        <v>0</v>
      </c>
      <c r="BY94" s="37">
        <v>0</v>
      </c>
      <c r="BZ94" s="37">
        <v>0</v>
      </c>
      <c r="CA94" s="44">
        <f t="shared" si="17"/>
        <v>0</v>
      </c>
    </row>
    <row r="95" spans="1:79" x14ac:dyDescent="0.25">
      <c r="A95" s="52" t="s">
        <v>261</v>
      </c>
      <c r="B95" s="52" t="s">
        <v>262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44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37">
        <v>0</v>
      </c>
      <c r="AT95" s="37">
        <v>0</v>
      </c>
      <c r="AU95" s="37">
        <v>0</v>
      </c>
      <c r="AV95" s="37">
        <v>0</v>
      </c>
      <c r="AW95" s="37">
        <v>0</v>
      </c>
      <c r="AX95" s="37">
        <v>0</v>
      </c>
      <c r="AY95" s="37">
        <v>0</v>
      </c>
      <c r="AZ95" s="37">
        <v>0</v>
      </c>
      <c r="BA95" s="37">
        <v>0</v>
      </c>
      <c r="BB95" s="37">
        <v>0</v>
      </c>
      <c r="BC95" s="37">
        <v>0</v>
      </c>
      <c r="BD95" s="37">
        <v>0</v>
      </c>
      <c r="BE95" s="37">
        <v>0</v>
      </c>
      <c r="BF95" s="37">
        <v>0</v>
      </c>
      <c r="BG95" s="37">
        <v>0</v>
      </c>
      <c r="BH95" s="37">
        <v>0</v>
      </c>
      <c r="BI95" s="37">
        <v>0</v>
      </c>
      <c r="BJ95" s="37">
        <v>0</v>
      </c>
      <c r="BK95" s="37">
        <v>0</v>
      </c>
      <c r="BL95" s="37">
        <v>0</v>
      </c>
      <c r="BM95" s="37">
        <v>0</v>
      </c>
      <c r="BN95" s="37">
        <v>0</v>
      </c>
      <c r="BO95" s="37">
        <v>0</v>
      </c>
      <c r="BP95" s="37">
        <v>0</v>
      </c>
      <c r="BQ95" s="37">
        <v>0</v>
      </c>
      <c r="BR95" s="37">
        <v>0</v>
      </c>
      <c r="BS95" s="37">
        <v>0</v>
      </c>
      <c r="BT95" s="37">
        <v>0</v>
      </c>
      <c r="BU95" s="37">
        <v>0</v>
      </c>
      <c r="BV95" s="37">
        <v>0</v>
      </c>
      <c r="BW95" s="37">
        <v>0</v>
      </c>
      <c r="BX95" s="37">
        <v>502</v>
      </c>
      <c r="BY95" s="37">
        <v>0</v>
      </c>
      <c r="BZ95" s="37">
        <v>0</v>
      </c>
      <c r="CA95" s="44">
        <f t="shared" si="17"/>
        <v>502</v>
      </c>
    </row>
    <row r="96" spans="1:79" x14ac:dyDescent="0.25">
      <c r="A96" s="52" t="s">
        <v>263</v>
      </c>
      <c r="B96" s="52" t="s">
        <v>264</v>
      </c>
      <c r="C96" s="37">
        <v>0</v>
      </c>
      <c r="D96" s="37">
        <v>0</v>
      </c>
      <c r="E96" s="37">
        <v>502</v>
      </c>
      <c r="F96" s="37">
        <v>502</v>
      </c>
      <c r="G96" s="37">
        <v>55</v>
      </c>
      <c r="H96" s="43">
        <v>31177</v>
      </c>
      <c r="I96" s="37">
        <v>0</v>
      </c>
      <c r="J96" s="43">
        <v>1305</v>
      </c>
      <c r="K96" s="43">
        <v>19377</v>
      </c>
      <c r="L96" s="37">
        <v>0</v>
      </c>
      <c r="M96" s="37">
        <v>0</v>
      </c>
      <c r="N96" s="43">
        <v>1935</v>
      </c>
      <c r="O96" s="43">
        <v>2007</v>
      </c>
      <c r="P96" s="37">
        <v>0</v>
      </c>
      <c r="Q96" s="43">
        <v>345432</v>
      </c>
      <c r="R96" s="43">
        <v>1003</v>
      </c>
      <c r="S96" s="37">
        <v>355</v>
      </c>
      <c r="T96" s="43">
        <v>13861</v>
      </c>
      <c r="U96" s="37">
        <v>0</v>
      </c>
      <c r="V96" s="43">
        <v>80235</v>
      </c>
      <c r="W96" s="43">
        <v>2501</v>
      </c>
      <c r="X96" s="43">
        <v>1003</v>
      </c>
      <c r="Y96" s="37">
        <v>0</v>
      </c>
      <c r="Z96" s="43">
        <v>990981</v>
      </c>
      <c r="AA96" s="43">
        <v>19270</v>
      </c>
      <c r="AB96" s="43">
        <v>11107</v>
      </c>
      <c r="AC96" s="37">
        <v>0</v>
      </c>
      <c r="AD96" s="43">
        <v>647740</v>
      </c>
      <c r="AE96" s="43">
        <v>6761</v>
      </c>
      <c r="AF96" s="37">
        <v>0</v>
      </c>
      <c r="AG96" s="37">
        <v>0</v>
      </c>
      <c r="AH96" s="43">
        <v>1505</v>
      </c>
      <c r="AI96" s="43">
        <v>484482</v>
      </c>
      <c r="AJ96" s="37">
        <v>502</v>
      </c>
      <c r="AK96" s="37">
        <v>0</v>
      </c>
      <c r="AL96" s="37">
        <v>0</v>
      </c>
      <c r="AM96" s="44">
        <v>12921</v>
      </c>
      <c r="AN96" s="43">
        <v>1560</v>
      </c>
      <c r="AO96" s="37">
        <v>0</v>
      </c>
      <c r="AP96" s="37">
        <v>502</v>
      </c>
      <c r="AQ96" s="43">
        <v>317194</v>
      </c>
      <c r="AR96" s="37">
        <v>502</v>
      </c>
      <c r="AS96" s="37">
        <v>0</v>
      </c>
      <c r="AT96" s="43">
        <v>41368</v>
      </c>
      <c r="AU96" s="37">
        <v>502</v>
      </c>
      <c r="AV96" s="43">
        <v>3512</v>
      </c>
      <c r="AW96" s="37">
        <v>0</v>
      </c>
      <c r="AX96" s="37">
        <v>0</v>
      </c>
      <c r="AY96" s="43">
        <v>16592</v>
      </c>
      <c r="AZ96" s="37">
        <v>0</v>
      </c>
      <c r="BA96" s="43">
        <v>71957</v>
      </c>
      <c r="BB96" s="37">
        <v>506</v>
      </c>
      <c r="BC96" s="37">
        <v>55</v>
      </c>
      <c r="BD96" s="37">
        <v>501</v>
      </c>
      <c r="BE96" s="43">
        <v>1368912</v>
      </c>
      <c r="BF96" s="43">
        <v>6508</v>
      </c>
      <c r="BG96" s="43">
        <v>110380</v>
      </c>
      <c r="BH96" s="43">
        <v>4841</v>
      </c>
      <c r="BI96" s="37">
        <v>0</v>
      </c>
      <c r="BJ96" s="37">
        <v>502</v>
      </c>
      <c r="BK96" s="43">
        <v>3010</v>
      </c>
      <c r="BL96" s="37">
        <v>502</v>
      </c>
      <c r="BM96" s="37">
        <v>0</v>
      </c>
      <c r="BN96" s="37">
        <v>0</v>
      </c>
      <c r="BO96" s="43">
        <v>2508</v>
      </c>
      <c r="BP96" s="43">
        <v>2242</v>
      </c>
      <c r="BQ96" s="43">
        <v>3512</v>
      </c>
      <c r="BR96" s="43">
        <v>45950</v>
      </c>
      <c r="BS96" s="43">
        <v>139128</v>
      </c>
      <c r="BT96" s="43">
        <v>68939</v>
      </c>
      <c r="BU96" s="43">
        <v>33629</v>
      </c>
      <c r="BV96" s="43">
        <v>3010</v>
      </c>
      <c r="BW96" s="43">
        <v>15237</v>
      </c>
      <c r="BX96" s="43">
        <f>3400-3400</f>
        <v>0</v>
      </c>
      <c r="BY96" s="43">
        <f>209994-208494</f>
        <v>1500</v>
      </c>
      <c r="BZ96" s="37">
        <v>0</v>
      </c>
      <c r="CA96" s="44">
        <f t="shared" si="17"/>
        <v>4941580</v>
      </c>
    </row>
    <row r="97" spans="1:79" x14ac:dyDescent="0.25">
      <c r="A97" s="52" t="s">
        <v>265</v>
      </c>
      <c r="B97" s="52" t="s">
        <v>266</v>
      </c>
      <c r="AM97" s="44"/>
      <c r="CA97" s="44">
        <f t="shared" si="17"/>
        <v>0</v>
      </c>
    </row>
    <row r="98" spans="1:79" x14ac:dyDescent="0.25">
      <c r="A98" s="52" t="s">
        <v>267</v>
      </c>
      <c r="B98" s="52" t="s">
        <v>268</v>
      </c>
      <c r="C98" s="37">
        <v>0</v>
      </c>
      <c r="D98" s="37">
        <v>0</v>
      </c>
      <c r="E98" s="43">
        <v>5000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44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37">
        <v>0</v>
      </c>
      <c r="AT98" s="37">
        <v>0</v>
      </c>
      <c r="AU98" s="37">
        <v>0</v>
      </c>
      <c r="AV98" s="37">
        <v>0</v>
      </c>
      <c r="AW98" s="37">
        <v>0</v>
      </c>
      <c r="AX98" s="37">
        <v>0</v>
      </c>
      <c r="AY98" s="37">
        <v>0</v>
      </c>
      <c r="AZ98" s="37">
        <v>0</v>
      </c>
      <c r="BA98" s="37">
        <v>0</v>
      </c>
      <c r="BB98" s="37">
        <v>0</v>
      </c>
      <c r="BC98" s="37">
        <v>0</v>
      </c>
      <c r="BD98" s="37">
        <v>0</v>
      </c>
      <c r="BE98" s="37">
        <v>0</v>
      </c>
      <c r="BF98" s="37">
        <v>0</v>
      </c>
      <c r="BG98" s="37">
        <v>0</v>
      </c>
      <c r="BH98" s="37">
        <v>0</v>
      </c>
      <c r="BI98" s="37">
        <v>0</v>
      </c>
      <c r="BJ98" s="37">
        <v>0</v>
      </c>
      <c r="BK98" s="37">
        <v>0</v>
      </c>
      <c r="BL98" s="37">
        <v>0</v>
      </c>
      <c r="BM98" s="37">
        <v>0</v>
      </c>
      <c r="BN98" s="37">
        <v>0</v>
      </c>
      <c r="BO98" s="37">
        <v>0</v>
      </c>
      <c r="BP98" s="37">
        <v>0</v>
      </c>
      <c r="BQ98" s="37">
        <v>0</v>
      </c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44">
        <f t="shared" si="17"/>
        <v>5000</v>
      </c>
    </row>
    <row r="99" spans="1:79" x14ac:dyDescent="0.25">
      <c r="A99" s="52" t="s">
        <v>269</v>
      </c>
      <c r="B99" s="52" t="s">
        <v>270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43">
        <f>1560-1560</f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44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7">
        <v>0</v>
      </c>
      <c r="AU99" s="37">
        <v>0</v>
      </c>
      <c r="AV99" s="37">
        <v>0</v>
      </c>
      <c r="AW99" s="37">
        <v>0</v>
      </c>
      <c r="AX99" s="37">
        <v>0</v>
      </c>
      <c r="AY99" s="37">
        <v>0</v>
      </c>
      <c r="AZ99" s="37">
        <v>0</v>
      </c>
      <c r="BA99" s="37">
        <v>0</v>
      </c>
      <c r="BB99" s="37">
        <v>0</v>
      </c>
      <c r="BC99" s="37">
        <v>0</v>
      </c>
      <c r="BD99" s="37">
        <v>0</v>
      </c>
      <c r="BE99" s="37">
        <v>0</v>
      </c>
      <c r="BF99" s="37">
        <v>0</v>
      </c>
      <c r="BG99" s="37">
        <v>0</v>
      </c>
      <c r="BH99" s="37">
        <v>0</v>
      </c>
      <c r="BI99" s="37">
        <v>0</v>
      </c>
      <c r="BJ99" s="37">
        <v>0</v>
      </c>
      <c r="BK99" s="37">
        <v>0</v>
      </c>
      <c r="BL99" s="37">
        <v>0</v>
      </c>
      <c r="BM99" s="37">
        <v>0</v>
      </c>
      <c r="BN99" s="37">
        <v>0</v>
      </c>
      <c r="BO99" s="37">
        <v>0</v>
      </c>
      <c r="BP99" s="37">
        <v>0</v>
      </c>
      <c r="BQ99" s="37">
        <v>0</v>
      </c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44">
        <f t="shared" si="17"/>
        <v>0</v>
      </c>
    </row>
    <row r="100" spans="1:79" x14ac:dyDescent="0.25">
      <c r="A100" s="52" t="s">
        <v>271</v>
      </c>
      <c r="B100" s="52" t="s">
        <v>272</v>
      </c>
      <c r="AM100" s="44"/>
      <c r="CA100" s="44">
        <f t="shared" si="17"/>
        <v>0</v>
      </c>
    </row>
    <row r="101" spans="1:79" x14ac:dyDescent="0.25">
      <c r="A101" s="52" t="s">
        <v>273</v>
      </c>
      <c r="B101" s="52" t="s">
        <v>274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</v>
      </c>
      <c r="AM101" s="44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37">
        <v>0</v>
      </c>
      <c r="AT101" s="37">
        <v>0</v>
      </c>
      <c r="AU101" s="37">
        <v>0</v>
      </c>
      <c r="AV101" s="37">
        <v>0</v>
      </c>
      <c r="AW101" s="37">
        <v>0</v>
      </c>
      <c r="AX101" s="37">
        <v>0</v>
      </c>
      <c r="AY101" s="37">
        <v>0</v>
      </c>
      <c r="AZ101" s="37">
        <v>0</v>
      </c>
      <c r="BA101" s="37">
        <v>0</v>
      </c>
      <c r="BB101" s="37">
        <v>0</v>
      </c>
      <c r="BC101" s="37">
        <v>0</v>
      </c>
      <c r="BD101" s="37">
        <v>0</v>
      </c>
      <c r="BE101" s="37">
        <v>0</v>
      </c>
      <c r="BF101" s="37">
        <v>0</v>
      </c>
      <c r="BG101" s="37">
        <v>0</v>
      </c>
      <c r="BH101" s="37">
        <v>0</v>
      </c>
      <c r="BI101" s="37">
        <v>0</v>
      </c>
      <c r="BJ101" s="37">
        <v>0</v>
      </c>
      <c r="BK101" s="37">
        <v>0</v>
      </c>
      <c r="BL101" s="37">
        <v>0</v>
      </c>
      <c r="BM101" s="37">
        <v>0</v>
      </c>
      <c r="BN101" s="37">
        <v>0</v>
      </c>
      <c r="BO101" s="37">
        <v>0</v>
      </c>
      <c r="BP101" s="37">
        <v>0</v>
      </c>
      <c r="BQ101" s="37">
        <v>0</v>
      </c>
      <c r="BR101" s="37">
        <v>0</v>
      </c>
      <c r="BS101" s="37">
        <v>0</v>
      </c>
      <c r="BT101" s="37">
        <v>0</v>
      </c>
      <c r="BU101" s="37">
        <v>0</v>
      </c>
      <c r="BV101" s="37">
        <v>0</v>
      </c>
      <c r="BW101" s="37">
        <v>0</v>
      </c>
      <c r="BX101" s="37">
        <v>0</v>
      </c>
      <c r="BY101" s="37">
        <v>0</v>
      </c>
      <c r="BZ101" s="37">
        <v>0</v>
      </c>
      <c r="CA101" s="44">
        <f t="shared" si="17"/>
        <v>0</v>
      </c>
    </row>
    <row r="102" spans="1:79" x14ac:dyDescent="0.25">
      <c r="A102" s="52" t="s">
        <v>275</v>
      </c>
      <c r="B102" s="52" t="s">
        <v>276</v>
      </c>
      <c r="AM102" s="44"/>
      <c r="CA102" s="44">
        <f t="shared" si="17"/>
        <v>0</v>
      </c>
    </row>
    <row r="103" spans="1:79" x14ac:dyDescent="0.25">
      <c r="A103" s="52" t="s">
        <v>277</v>
      </c>
      <c r="B103" s="52" t="s">
        <v>278</v>
      </c>
      <c r="AM103" s="44"/>
      <c r="CA103" s="44">
        <f t="shared" si="17"/>
        <v>0</v>
      </c>
    </row>
    <row r="104" spans="1:79" x14ac:dyDescent="0.25">
      <c r="A104" s="52" t="s">
        <v>279</v>
      </c>
      <c r="B104" s="52" t="s">
        <v>280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44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37">
        <v>0</v>
      </c>
      <c r="AT104" s="37">
        <v>0</v>
      </c>
      <c r="AU104" s="37">
        <v>0</v>
      </c>
      <c r="AV104" s="37">
        <v>0</v>
      </c>
      <c r="AW104" s="37">
        <v>0</v>
      </c>
      <c r="AX104" s="37">
        <v>0</v>
      </c>
      <c r="AY104" s="37">
        <v>0</v>
      </c>
      <c r="AZ104" s="37">
        <v>0</v>
      </c>
      <c r="BA104" s="37">
        <v>0</v>
      </c>
      <c r="BB104" s="37">
        <v>0</v>
      </c>
      <c r="BC104" s="37">
        <v>0</v>
      </c>
      <c r="BD104" s="37">
        <v>0</v>
      </c>
      <c r="BE104" s="37">
        <v>0</v>
      </c>
      <c r="BF104" s="37">
        <v>0</v>
      </c>
      <c r="BG104" s="37">
        <v>0</v>
      </c>
      <c r="BH104" s="37">
        <v>0</v>
      </c>
      <c r="BI104" s="37">
        <v>0</v>
      </c>
      <c r="BJ104" s="37">
        <v>0</v>
      </c>
      <c r="BK104" s="37">
        <v>0</v>
      </c>
      <c r="BL104" s="37">
        <v>0</v>
      </c>
      <c r="BM104" s="37">
        <v>0</v>
      </c>
      <c r="BN104" s="37">
        <v>0</v>
      </c>
      <c r="BO104" s="37">
        <v>0</v>
      </c>
      <c r="BP104" s="37">
        <v>0</v>
      </c>
      <c r="BQ104" s="37">
        <v>0</v>
      </c>
      <c r="BR104" s="37">
        <v>0</v>
      </c>
      <c r="BS104" s="37">
        <v>0</v>
      </c>
      <c r="BT104" s="37">
        <v>0</v>
      </c>
      <c r="BU104" s="37">
        <v>0</v>
      </c>
      <c r="BV104" s="37">
        <v>0</v>
      </c>
      <c r="BW104" s="37">
        <v>0</v>
      </c>
      <c r="BX104" s="37">
        <v>0</v>
      </c>
      <c r="BY104" s="43">
        <f>1181449-175887-1005562</f>
        <v>0</v>
      </c>
      <c r="BZ104" s="37">
        <v>0</v>
      </c>
      <c r="CA104" s="44">
        <f t="shared" si="17"/>
        <v>0</v>
      </c>
    </row>
    <row r="105" spans="1:79" x14ac:dyDescent="0.25">
      <c r="A105" s="52" t="s">
        <v>281</v>
      </c>
      <c r="B105" s="52" t="s">
        <v>282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43">
        <f>304935-304935</f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44">
        <v>0</v>
      </c>
      <c r="AN105" s="37">
        <v>0</v>
      </c>
      <c r="AO105" s="37">
        <v>0</v>
      </c>
      <c r="AP105" s="37">
        <v>0</v>
      </c>
      <c r="AQ105" s="37">
        <v>0</v>
      </c>
      <c r="AR105" s="37">
        <v>0</v>
      </c>
      <c r="AS105" s="37">
        <v>0</v>
      </c>
      <c r="AT105" s="37">
        <v>0</v>
      </c>
      <c r="AU105" s="37">
        <v>0</v>
      </c>
      <c r="AV105" s="37">
        <v>0</v>
      </c>
      <c r="AW105" s="37">
        <v>0</v>
      </c>
      <c r="AX105" s="37">
        <v>0</v>
      </c>
      <c r="AY105" s="37">
        <v>0</v>
      </c>
      <c r="AZ105" s="37">
        <v>0</v>
      </c>
      <c r="BA105" s="37">
        <v>0</v>
      </c>
      <c r="BB105" s="37">
        <v>0</v>
      </c>
      <c r="BC105" s="37">
        <v>0</v>
      </c>
      <c r="BD105" s="37">
        <v>0</v>
      </c>
      <c r="BE105" s="37">
        <v>0</v>
      </c>
      <c r="BF105" s="37">
        <v>0</v>
      </c>
      <c r="BG105" s="37">
        <v>0</v>
      </c>
      <c r="BH105" s="37">
        <v>0</v>
      </c>
      <c r="BI105" s="37">
        <v>0</v>
      </c>
      <c r="BJ105" s="37">
        <v>0</v>
      </c>
      <c r="BK105" s="37">
        <v>0</v>
      </c>
      <c r="BL105" s="37">
        <v>0</v>
      </c>
      <c r="BM105" s="37">
        <v>0</v>
      </c>
      <c r="BN105" s="37">
        <v>0</v>
      </c>
      <c r="BO105" s="37">
        <v>0</v>
      </c>
      <c r="BP105" s="37">
        <v>0</v>
      </c>
      <c r="BQ105" s="37">
        <v>0</v>
      </c>
      <c r="BR105" s="37">
        <v>0</v>
      </c>
      <c r="BS105" s="37">
        <v>0</v>
      </c>
      <c r="BT105" s="37">
        <v>0</v>
      </c>
      <c r="BU105" s="37">
        <v>0</v>
      </c>
      <c r="BV105" s="43">
        <f>347336-347336</f>
        <v>0</v>
      </c>
      <c r="BW105" s="37">
        <v>0</v>
      </c>
      <c r="BX105" s="37">
        <v>0</v>
      </c>
      <c r="BY105" s="43">
        <f>3181475-210807-2970668</f>
        <v>0</v>
      </c>
      <c r="BZ105" s="37">
        <v>0</v>
      </c>
      <c r="CA105" s="44">
        <f t="shared" si="17"/>
        <v>0</v>
      </c>
    </row>
    <row r="106" spans="1:79" x14ac:dyDescent="0.25">
      <c r="A106" s="52" t="s">
        <v>283</v>
      </c>
      <c r="B106" s="52" t="s">
        <v>284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43">
        <f>5201725-5201725</f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44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37">
        <v>0</v>
      </c>
      <c r="AT106" s="37">
        <v>0</v>
      </c>
      <c r="AU106" s="37">
        <v>0</v>
      </c>
      <c r="AV106" s="37">
        <v>0</v>
      </c>
      <c r="AW106" s="37">
        <v>0</v>
      </c>
      <c r="AX106" s="37">
        <v>0</v>
      </c>
      <c r="AY106" s="37">
        <v>0</v>
      </c>
      <c r="AZ106" s="37">
        <v>0</v>
      </c>
      <c r="BA106" s="37">
        <v>0</v>
      </c>
      <c r="BB106" s="37">
        <v>0</v>
      </c>
      <c r="BC106" s="37">
        <v>0</v>
      </c>
      <c r="BD106" s="37">
        <v>0</v>
      </c>
      <c r="BE106" s="37">
        <v>0</v>
      </c>
      <c r="BF106" s="37">
        <v>0</v>
      </c>
      <c r="BG106" s="37">
        <v>0</v>
      </c>
      <c r="BH106" s="37">
        <v>0</v>
      </c>
      <c r="BI106" s="37">
        <v>0</v>
      </c>
      <c r="BJ106" s="37">
        <v>0</v>
      </c>
      <c r="BK106" s="37">
        <v>0</v>
      </c>
      <c r="BL106" s="37">
        <v>0</v>
      </c>
      <c r="BM106" s="37">
        <v>0</v>
      </c>
      <c r="BN106" s="37">
        <v>0</v>
      </c>
      <c r="BO106" s="37">
        <v>0</v>
      </c>
      <c r="BP106" s="37">
        <v>0</v>
      </c>
      <c r="BQ106" s="37">
        <v>0</v>
      </c>
      <c r="BR106" s="37">
        <v>0</v>
      </c>
      <c r="BS106" s="37">
        <v>0</v>
      </c>
      <c r="BT106" s="37">
        <v>0</v>
      </c>
      <c r="BU106" s="37">
        <v>0</v>
      </c>
      <c r="BV106" s="37">
        <v>0</v>
      </c>
      <c r="BW106" s="37">
        <v>0</v>
      </c>
      <c r="BX106" s="43">
        <f>7905-7905</f>
        <v>0</v>
      </c>
      <c r="BY106" s="43">
        <f>9725845-697550-9028295</f>
        <v>0</v>
      </c>
      <c r="BZ106" s="37">
        <v>0</v>
      </c>
      <c r="CA106" s="44">
        <f t="shared" si="17"/>
        <v>0</v>
      </c>
    </row>
    <row r="107" spans="1:79" x14ac:dyDescent="0.25">
      <c r="A107" s="52" t="s">
        <v>285</v>
      </c>
      <c r="B107" s="52" t="s">
        <v>286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44">
        <v>0</v>
      </c>
      <c r="AN107" s="37">
        <v>0</v>
      </c>
      <c r="AO107" s="37">
        <v>0</v>
      </c>
      <c r="AP107" s="37">
        <v>0</v>
      </c>
      <c r="AQ107" s="37">
        <v>0</v>
      </c>
      <c r="AR107" s="37">
        <v>0</v>
      </c>
      <c r="AS107" s="37">
        <v>0</v>
      </c>
      <c r="AT107" s="37">
        <v>0</v>
      </c>
      <c r="AU107" s="37">
        <v>0</v>
      </c>
      <c r="AV107" s="37">
        <v>0</v>
      </c>
      <c r="AW107" s="37">
        <v>0</v>
      </c>
      <c r="AX107" s="37">
        <v>0</v>
      </c>
      <c r="AY107" s="37">
        <v>0</v>
      </c>
      <c r="AZ107" s="37">
        <v>0</v>
      </c>
      <c r="BA107" s="37">
        <v>0</v>
      </c>
      <c r="BB107" s="37">
        <v>0</v>
      </c>
      <c r="BC107" s="37">
        <v>0</v>
      </c>
      <c r="BD107" s="37">
        <v>0</v>
      </c>
      <c r="BE107" s="37">
        <v>0</v>
      </c>
      <c r="BF107" s="37">
        <v>0</v>
      </c>
      <c r="BG107" s="37">
        <v>0</v>
      </c>
      <c r="BH107" s="37">
        <v>0</v>
      </c>
      <c r="BI107" s="37">
        <v>0</v>
      </c>
      <c r="BJ107" s="37">
        <v>0</v>
      </c>
      <c r="BK107" s="37">
        <v>0</v>
      </c>
      <c r="BL107" s="37">
        <v>0</v>
      </c>
      <c r="BM107" s="37">
        <v>0</v>
      </c>
      <c r="BN107" s="37">
        <v>0</v>
      </c>
      <c r="BO107" s="37">
        <v>0</v>
      </c>
      <c r="BP107" s="37">
        <v>0</v>
      </c>
      <c r="BQ107" s="37">
        <v>0</v>
      </c>
      <c r="BR107" s="37">
        <v>0</v>
      </c>
      <c r="BS107" s="37">
        <v>0</v>
      </c>
      <c r="BT107" s="37">
        <v>0</v>
      </c>
      <c r="BU107" s="37">
        <v>0</v>
      </c>
      <c r="BV107" s="37">
        <v>0</v>
      </c>
      <c r="BW107" s="37">
        <v>0</v>
      </c>
      <c r="BX107" s="37">
        <v>0</v>
      </c>
      <c r="BY107" s="43">
        <f>5132922-771876-4361046</f>
        <v>0</v>
      </c>
      <c r="BZ107" s="37">
        <v>0</v>
      </c>
      <c r="CA107" s="44">
        <f t="shared" si="17"/>
        <v>0</v>
      </c>
    </row>
    <row r="108" spans="1:79" x14ac:dyDescent="0.25">
      <c r="A108" s="52" t="s">
        <v>287</v>
      </c>
      <c r="B108" s="52" t="s">
        <v>288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44">
        <v>0</v>
      </c>
      <c r="AN108" s="37">
        <v>0</v>
      </c>
      <c r="AO108" s="37">
        <v>0</v>
      </c>
      <c r="AP108" s="37">
        <v>0</v>
      </c>
      <c r="AQ108" s="37">
        <v>0</v>
      </c>
      <c r="AR108" s="37">
        <v>0</v>
      </c>
      <c r="AS108" s="37">
        <v>0</v>
      </c>
      <c r="AT108" s="37">
        <v>0</v>
      </c>
      <c r="AU108" s="37">
        <v>0</v>
      </c>
      <c r="AV108" s="37">
        <v>0</v>
      </c>
      <c r="AW108" s="37">
        <v>0</v>
      </c>
      <c r="AX108" s="37">
        <v>0</v>
      </c>
      <c r="AY108" s="37">
        <v>0</v>
      </c>
      <c r="AZ108" s="37">
        <v>0</v>
      </c>
      <c r="BA108" s="37">
        <v>0</v>
      </c>
      <c r="BB108" s="37">
        <v>0</v>
      </c>
      <c r="BC108" s="37">
        <v>0</v>
      </c>
      <c r="BD108" s="37">
        <v>0</v>
      </c>
      <c r="BE108" s="37">
        <v>0</v>
      </c>
      <c r="BF108" s="37">
        <v>0</v>
      </c>
      <c r="BG108" s="37">
        <v>0</v>
      </c>
      <c r="BH108" s="37">
        <v>0</v>
      </c>
      <c r="BI108" s="37">
        <v>0</v>
      </c>
      <c r="BJ108" s="37">
        <v>0</v>
      </c>
      <c r="BK108" s="37">
        <v>0</v>
      </c>
      <c r="BL108" s="37">
        <v>0</v>
      </c>
      <c r="BM108" s="37">
        <v>0</v>
      </c>
      <c r="BN108" s="37">
        <v>0</v>
      </c>
      <c r="BO108" s="37">
        <v>0</v>
      </c>
      <c r="BP108" s="37">
        <v>0</v>
      </c>
      <c r="BQ108" s="37">
        <v>0</v>
      </c>
      <c r="BR108" s="37">
        <v>0</v>
      </c>
      <c r="BS108" s="37">
        <v>0</v>
      </c>
      <c r="BT108" s="37">
        <v>0</v>
      </c>
      <c r="BU108" s="37">
        <v>0</v>
      </c>
      <c r="BV108" s="37">
        <v>0</v>
      </c>
      <c r="BW108" s="37">
        <v>0</v>
      </c>
      <c r="BX108" s="37">
        <v>0</v>
      </c>
      <c r="BY108" s="43">
        <f>3362-3362</f>
        <v>0</v>
      </c>
      <c r="BZ108" s="37">
        <v>0</v>
      </c>
      <c r="CA108" s="44">
        <f t="shared" si="17"/>
        <v>0</v>
      </c>
    </row>
    <row r="109" spans="1:79" x14ac:dyDescent="0.25">
      <c r="A109" s="52" t="s">
        <v>289</v>
      </c>
      <c r="B109" s="52" t="s">
        <v>290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44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37">
        <v>0</v>
      </c>
      <c r="AT109" s="37">
        <v>0</v>
      </c>
      <c r="AU109" s="37">
        <v>0</v>
      </c>
      <c r="AV109" s="37">
        <v>0</v>
      </c>
      <c r="AW109" s="37">
        <v>0</v>
      </c>
      <c r="AX109" s="37">
        <v>0</v>
      </c>
      <c r="AY109" s="37">
        <v>0</v>
      </c>
      <c r="AZ109" s="37">
        <v>0</v>
      </c>
      <c r="BA109" s="37">
        <v>0</v>
      </c>
      <c r="BB109" s="37">
        <v>0</v>
      </c>
      <c r="BC109" s="37">
        <v>0</v>
      </c>
      <c r="BD109" s="37">
        <v>0</v>
      </c>
      <c r="BE109" s="37">
        <v>0</v>
      </c>
      <c r="BF109" s="37">
        <v>0</v>
      </c>
      <c r="BG109" s="37">
        <v>0</v>
      </c>
      <c r="BH109" s="37">
        <v>0</v>
      </c>
      <c r="BI109" s="37">
        <v>0</v>
      </c>
      <c r="BJ109" s="37">
        <v>0</v>
      </c>
      <c r="BK109" s="37">
        <v>0</v>
      </c>
      <c r="BL109" s="37">
        <v>0</v>
      </c>
      <c r="BM109" s="37">
        <v>0</v>
      </c>
      <c r="BN109" s="37">
        <v>0</v>
      </c>
      <c r="BO109" s="37">
        <v>0</v>
      </c>
      <c r="BP109" s="37">
        <v>0</v>
      </c>
      <c r="BQ109" s="37">
        <v>0</v>
      </c>
      <c r="BR109" s="37">
        <v>0</v>
      </c>
      <c r="BS109" s="37">
        <v>0</v>
      </c>
      <c r="BT109" s="37">
        <v>0</v>
      </c>
      <c r="BU109" s="37">
        <v>0</v>
      </c>
      <c r="BV109" s="37">
        <v>0</v>
      </c>
      <c r="BW109" s="37">
        <v>0</v>
      </c>
      <c r="BX109" s="37">
        <v>0</v>
      </c>
      <c r="BY109" s="43">
        <f>2885563-302637-2582926</f>
        <v>0</v>
      </c>
      <c r="BZ109" s="37">
        <v>0</v>
      </c>
      <c r="CA109" s="44">
        <f t="shared" si="17"/>
        <v>0</v>
      </c>
    </row>
    <row r="110" spans="1:79" x14ac:dyDescent="0.25">
      <c r="A110" s="52" t="s">
        <v>291</v>
      </c>
      <c r="B110" s="52" t="s">
        <v>292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44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7">
        <v>0</v>
      </c>
      <c r="AW110" s="37">
        <v>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0</v>
      </c>
      <c r="BH110" s="37">
        <v>0</v>
      </c>
      <c r="BI110" s="37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7">
        <v>0</v>
      </c>
      <c r="BW110" s="37">
        <v>0</v>
      </c>
      <c r="BX110" s="37">
        <v>0</v>
      </c>
      <c r="BY110" s="37">
        <v>0</v>
      </c>
      <c r="BZ110" s="37">
        <v>0</v>
      </c>
      <c r="CA110" s="44">
        <f t="shared" si="17"/>
        <v>0</v>
      </c>
    </row>
    <row r="111" spans="1:79" x14ac:dyDescent="0.25">
      <c r="A111" s="52" t="s">
        <v>293</v>
      </c>
      <c r="B111" s="52" t="s">
        <v>294</v>
      </c>
      <c r="AM111" s="44"/>
      <c r="CA111" s="44">
        <f t="shared" si="17"/>
        <v>0</v>
      </c>
    </row>
    <row r="112" spans="1:79" x14ac:dyDescent="0.25">
      <c r="A112" s="52" t="s">
        <v>295</v>
      </c>
      <c r="B112" s="52" t="s">
        <v>296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44">
        <v>0</v>
      </c>
      <c r="AN112" s="37">
        <v>0</v>
      </c>
      <c r="AO112" s="37">
        <v>0</v>
      </c>
      <c r="AP112" s="37">
        <v>0</v>
      </c>
      <c r="AQ112" s="37">
        <v>0</v>
      </c>
      <c r="AR112" s="37">
        <v>0</v>
      </c>
      <c r="AS112" s="37">
        <v>0</v>
      </c>
      <c r="AT112" s="37">
        <v>0</v>
      </c>
      <c r="AU112" s="37">
        <v>0</v>
      </c>
      <c r="AV112" s="37">
        <v>0</v>
      </c>
      <c r="AW112" s="37">
        <v>0</v>
      </c>
      <c r="AX112" s="37">
        <v>0</v>
      </c>
      <c r="AY112" s="37">
        <v>0</v>
      </c>
      <c r="AZ112" s="37">
        <v>0</v>
      </c>
      <c r="BA112" s="37">
        <v>0</v>
      </c>
      <c r="BB112" s="37">
        <v>0</v>
      </c>
      <c r="BC112" s="37">
        <v>0</v>
      </c>
      <c r="BD112" s="37">
        <v>0</v>
      </c>
      <c r="BE112" s="37">
        <v>0</v>
      </c>
      <c r="BF112" s="37">
        <v>0</v>
      </c>
      <c r="BG112" s="37">
        <v>0</v>
      </c>
      <c r="BH112" s="37">
        <v>0</v>
      </c>
      <c r="BI112" s="37">
        <v>0</v>
      </c>
      <c r="BJ112" s="37">
        <v>0</v>
      </c>
      <c r="BK112" s="37">
        <v>0</v>
      </c>
      <c r="BL112" s="37">
        <v>0</v>
      </c>
      <c r="BM112" s="37">
        <v>0</v>
      </c>
      <c r="BN112" s="37">
        <v>0</v>
      </c>
      <c r="BO112" s="37">
        <v>0</v>
      </c>
      <c r="BP112" s="37">
        <v>0</v>
      </c>
      <c r="BQ112" s="37">
        <v>0</v>
      </c>
      <c r="BR112" s="37">
        <v>0</v>
      </c>
      <c r="BS112" s="37">
        <v>0</v>
      </c>
      <c r="BT112" s="37">
        <v>0</v>
      </c>
      <c r="BU112" s="37">
        <v>0</v>
      </c>
      <c r="BV112" s="37">
        <v>0</v>
      </c>
      <c r="BW112" s="37">
        <v>0</v>
      </c>
      <c r="BX112" s="37">
        <v>0</v>
      </c>
      <c r="BY112" s="43">
        <f>216612-50940-165672</f>
        <v>0</v>
      </c>
      <c r="BZ112" s="37">
        <v>0</v>
      </c>
      <c r="CA112" s="44">
        <f t="shared" si="17"/>
        <v>0</v>
      </c>
    </row>
    <row r="113" spans="1:79" x14ac:dyDescent="0.25">
      <c r="A113" s="52" t="s">
        <v>297</v>
      </c>
      <c r="B113" s="52" t="s">
        <v>298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44">
        <v>0</v>
      </c>
      <c r="AN113" s="37">
        <v>0</v>
      </c>
      <c r="AO113" s="37">
        <v>0</v>
      </c>
      <c r="AP113" s="37">
        <v>0</v>
      </c>
      <c r="AQ113" s="37">
        <v>0</v>
      </c>
      <c r="AR113" s="37">
        <v>0</v>
      </c>
      <c r="AS113" s="37">
        <v>0</v>
      </c>
      <c r="AT113" s="37">
        <v>0</v>
      </c>
      <c r="AU113" s="37">
        <v>0</v>
      </c>
      <c r="AV113" s="37">
        <v>0</v>
      </c>
      <c r="AW113" s="37">
        <v>0</v>
      </c>
      <c r="AX113" s="37">
        <v>0</v>
      </c>
      <c r="AY113" s="37">
        <v>0</v>
      </c>
      <c r="AZ113" s="37">
        <v>0</v>
      </c>
      <c r="BA113" s="37">
        <v>0</v>
      </c>
      <c r="BB113" s="37">
        <v>0</v>
      </c>
      <c r="BC113" s="37">
        <v>0</v>
      </c>
      <c r="BD113" s="37">
        <v>0</v>
      </c>
      <c r="BE113" s="37">
        <v>0</v>
      </c>
      <c r="BF113" s="37">
        <v>0</v>
      </c>
      <c r="BG113" s="37">
        <v>0</v>
      </c>
      <c r="BH113" s="37">
        <v>0</v>
      </c>
      <c r="BI113" s="37">
        <v>0</v>
      </c>
      <c r="BJ113" s="37">
        <v>0</v>
      </c>
      <c r="BK113" s="37">
        <v>0</v>
      </c>
      <c r="BL113" s="37">
        <v>0</v>
      </c>
      <c r="BM113" s="37">
        <v>0</v>
      </c>
      <c r="BN113" s="37">
        <v>0</v>
      </c>
      <c r="BO113" s="37">
        <v>0</v>
      </c>
      <c r="BP113" s="37">
        <v>0</v>
      </c>
      <c r="BQ113" s="37">
        <v>0</v>
      </c>
      <c r="BR113" s="37">
        <v>0</v>
      </c>
      <c r="BS113" s="37">
        <v>0</v>
      </c>
      <c r="BT113" s="37">
        <v>0</v>
      </c>
      <c r="BU113" s="37">
        <v>0</v>
      </c>
      <c r="BV113" s="37">
        <v>0</v>
      </c>
      <c r="BW113" s="37">
        <v>0</v>
      </c>
      <c r="BX113" s="37">
        <v>0</v>
      </c>
      <c r="BY113" s="43">
        <f>283612-22525-261087</f>
        <v>0</v>
      </c>
      <c r="BZ113" s="37">
        <v>0</v>
      </c>
      <c r="CA113" s="44">
        <f t="shared" si="17"/>
        <v>0</v>
      </c>
    </row>
    <row r="114" spans="1:79" x14ac:dyDescent="0.25">
      <c r="A114" s="52" t="s">
        <v>299</v>
      </c>
      <c r="B114" s="52" t="s">
        <v>300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44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37">
        <v>0</v>
      </c>
      <c r="AT114" s="37">
        <v>0</v>
      </c>
      <c r="AU114" s="37">
        <v>0</v>
      </c>
      <c r="AV114" s="37">
        <v>0</v>
      </c>
      <c r="AW114" s="37">
        <v>0</v>
      </c>
      <c r="AX114" s="37">
        <v>0</v>
      </c>
      <c r="AY114" s="37">
        <v>0</v>
      </c>
      <c r="AZ114" s="37">
        <v>0</v>
      </c>
      <c r="BA114" s="37">
        <v>0</v>
      </c>
      <c r="BB114" s="37">
        <v>0</v>
      </c>
      <c r="BC114" s="37">
        <v>0</v>
      </c>
      <c r="BD114" s="37">
        <v>0</v>
      </c>
      <c r="BE114" s="37">
        <v>0</v>
      </c>
      <c r="BF114" s="37">
        <v>0</v>
      </c>
      <c r="BG114" s="37">
        <v>0</v>
      </c>
      <c r="BH114" s="37">
        <v>0</v>
      </c>
      <c r="BI114" s="37">
        <v>0</v>
      </c>
      <c r="BJ114" s="37">
        <v>0</v>
      </c>
      <c r="BK114" s="37">
        <v>0</v>
      </c>
      <c r="BL114" s="37">
        <v>0</v>
      </c>
      <c r="BM114" s="37">
        <v>0</v>
      </c>
      <c r="BN114" s="37">
        <v>0</v>
      </c>
      <c r="BO114" s="37">
        <v>0</v>
      </c>
      <c r="BP114" s="37">
        <v>0</v>
      </c>
      <c r="BQ114" s="37">
        <v>0</v>
      </c>
      <c r="BR114" s="37">
        <v>0</v>
      </c>
      <c r="BS114" s="37">
        <v>0</v>
      </c>
      <c r="BT114" s="37">
        <v>0</v>
      </c>
      <c r="BU114" s="37">
        <v>0</v>
      </c>
      <c r="BV114" s="37">
        <v>0</v>
      </c>
      <c r="BW114" s="37">
        <v>0</v>
      </c>
      <c r="BX114" s="37">
        <v>0</v>
      </c>
      <c r="BY114" s="43">
        <f>6165227-564037-5601190</f>
        <v>0</v>
      </c>
      <c r="BZ114" s="37">
        <v>0</v>
      </c>
      <c r="CA114" s="44">
        <f t="shared" si="17"/>
        <v>0</v>
      </c>
    </row>
    <row r="115" spans="1:79" x14ac:dyDescent="0.25">
      <c r="A115" s="52" t="s">
        <v>301</v>
      </c>
      <c r="B115" s="52" t="s">
        <v>302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44">
        <v>0</v>
      </c>
      <c r="AN115" s="37">
        <v>0</v>
      </c>
      <c r="AO115" s="37">
        <v>0</v>
      </c>
      <c r="AP115" s="37">
        <v>0</v>
      </c>
      <c r="AQ115" s="37">
        <v>0</v>
      </c>
      <c r="AR115" s="37">
        <v>0</v>
      </c>
      <c r="AS115" s="37">
        <v>0</v>
      </c>
      <c r="AT115" s="37">
        <v>0</v>
      </c>
      <c r="AU115" s="37">
        <v>0</v>
      </c>
      <c r="AV115" s="37">
        <v>0</v>
      </c>
      <c r="AW115" s="37">
        <v>0</v>
      </c>
      <c r="AX115" s="37">
        <v>0</v>
      </c>
      <c r="AY115" s="37">
        <v>0</v>
      </c>
      <c r="AZ115" s="37">
        <v>0</v>
      </c>
      <c r="BA115" s="37">
        <v>0</v>
      </c>
      <c r="BB115" s="37">
        <v>0</v>
      </c>
      <c r="BC115" s="37">
        <v>0</v>
      </c>
      <c r="BD115" s="37">
        <v>0</v>
      </c>
      <c r="BE115" s="37">
        <v>0</v>
      </c>
      <c r="BF115" s="37">
        <v>0</v>
      </c>
      <c r="BG115" s="37">
        <v>0</v>
      </c>
      <c r="BH115" s="37">
        <v>0</v>
      </c>
      <c r="BI115" s="37">
        <v>0</v>
      </c>
      <c r="BJ115" s="37">
        <v>0</v>
      </c>
      <c r="BK115" s="37">
        <v>0</v>
      </c>
      <c r="BL115" s="37">
        <v>0</v>
      </c>
      <c r="BM115" s="37">
        <v>0</v>
      </c>
      <c r="BN115" s="37">
        <v>0</v>
      </c>
      <c r="BO115" s="37">
        <v>0</v>
      </c>
      <c r="BP115" s="37">
        <v>0</v>
      </c>
      <c r="BQ115" s="37">
        <v>0</v>
      </c>
      <c r="BR115" s="37">
        <v>0</v>
      </c>
      <c r="BS115" s="37">
        <v>0</v>
      </c>
      <c r="BT115" s="37">
        <v>0</v>
      </c>
      <c r="BU115" s="37">
        <v>0</v>
      </c>
      <c r="BV115" s="37">
        <v>0</v>
      </c>
      <c r="BW115" s="37">
        <v>0</v>
      </c>
      <c r="BX115" s="37">
        <v>0</v>
      </c>
      <c r="BY115" s="43">
        <f>26201-26201</f>
        <v>0</v>
      </c>
      <c r="BZ115" s="37">
        <v>0</v>
      </c>
      <c r="CA115" s="44">
        <f t="shared" si="17"/>
        <v>0</v>
      </c>
    </row>
    <row r="116" spans="1:79" x14ac:dyDescent="0.25">
      <c r="A116" s="52" t="s">
        <v>303</v>
      </c>
      <c r="B116" s="52" t="s">
        <v>304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44">
        <v>0</v>
      </c>
      <c r="AN116" s="37">
        <v>0</v>
      </c>
      <c r="AO116" s="37">
        <v>0</v>
      </c>
      <c r="AP116" s="37">
        <v>0</v>
      </c>
      <c r="AQ116" s="37">
        <v>0</v>
      </c>
      <c r="AR116" s="37">
        <v>0</v>
      </c>
      <c r="AS116" s="37">
        <v>0</v>
      </c>
      <c r="AT116" s="37">
        <v>0</v>
      </c>
      <c r="AU116" s="37">
        <v>0</v>
      </c>
      <c r="AV116" s="37">
        <v>0</v>
      </c>
      <c r="AW116" s="37">
        <v>0</v>
      </c>
      <c r="AX116" s="37">
        <v>0</v>
      </c>
      <c r="AY116" s="37">
        <v>0</v>
      </c>
      <c r="AZ116" s="37">
        <v>0</v>
      </c>
      <c r="BA116" s="37">
        <v>0</v>
      </c>
      <c r="BB116" s="37">
        <v>0</v>
      </c>
      <c r="BC116" s="37">
        <v>0</v>
      </c>
      <c r="BD116" s="37">
        <v>0</v>
      </c>
      <c r="BE116" s="37">
        <v>0</v>
      </c>
      <c r="BF116" s="37">
        <v>0</v>
      </c>
      <c r="BG116" s="37">
        <v>0</v>
      </c>
      <c r="BH116" s="37">
        <v>0</v>
      </c>
      <c r="BI116" s="37">
        <v>0</v>
      </c>
      <c r="BJ116" s="37">
        <v>0</v>
      </c>
      <c r="BK116" s="37">
        <v>0</v>
      </c>
      <c r="BL116" s="37">
        <v>0</v>
      </c>
      <c r="BM116" s="37">
        <v>0</v>
      </c>
      <c r="BN116" s="37">
        <v>0</v>
      </c>
      <c r="BO116" s="37">
        <v>0</v>
      </c>
      <c r="BP116" s="37">
        <v>0</v>
      </c>
      <c r="BQ116" s="37">
        <v>0</v>
      </c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43">
        <f>75779-11551-64228</f>
        <v>0</v>
      </c>
      <c r="BZ116" s="37">
        <v>0</v>
      </c>
      <c r="CA116" s="44">
        <f t="shared" si="17"/>
        <v>0</v>
      </c>
    </row>
    <row r="117" spans="1:79" x14ac:dyDescent="0.25">
      <c r="A117" s="52" t="s">
        <v>305</v>
      </c>
      <c r="B117" s="52" t="s">
        <v>306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44">
        <v>0</v>
      </c>
      <c r="AN117" s="37">
        <v>0</v>
      </c>
      <c r="AO117" s="37">
        <v>0</v>
      </c>
      <c r="AP117" s="37">
        <v>0</v>
      </c>
      <c r="AQ117" s="37">
        <v>0</v>
      </c>
      <c r="AR117" s="37">
        <v>0</v>
      </c>
      <c r="AS117" s="37">
        <v>0</v>
      </c>
      <c r="AT117" s="37">
        <v>0</v>
      </c>
      <c r="AU117" s="37">
        <v>0</v>
      </c>
      <c r="AV117" s="37">
        <v>0</v>
      </c>
      <c r="AW117" s="37">
        <v>0</v>
      </c>
      <c r="AX117" s="37">
        <v>0</v>
      </c>
      <c r="AY117" s="37">
        <v>0</v>
      </c>
      <c r="AZ117" s="37">
        <v>0</v>
      </c>
      <c r="BA117" s="37">
        <v>0</v>
      </c>
      <c r="BB117" s="37">
        <v>0</v>
      </c>
      <c r="BC117" s="37">
        <v>0</v>
      </c>
      <c r="BD117" s="37">
        <v>0</v>
      </c>
      <c r="BE117" s="37">
        <v>0</v>
      </c>
      <c r="BF117" s="37">
        <v>0</v>
      </c>
      <c r="BG117" s="37">
        <v>0</v>
      </c>
      <c r="BH117" s="37">
        <v>0</v>
      </c>
      <c r="BI117" s="37">
        <v>0</v>
      </c>
      <c r="BJ117" s="37">
        <v>0</v>
      </c>
      <c r="BK117" s="37">
        <v>0</v>
      </c>
      <c r="BL117" s="37">
        <v>0</v>
      </c>
      <c r="BM117" s="37">
        <v>0</v>
      </c>
      <c r="BN117" s="37">
        <v>0</v>
      </c>
      <c r="BO117" s="37">
        <v>0</v>
      </c>
      <c r="BP117" s="37">
        <v>0</v>
      </c>
      <c r="BQ117" s="37">
        <v>0</v>
      </c>
      <c r="BR117" s="37">
        <v>0</v>
      </c>
      <c r="BS117" s="37">
        <v>0</v>
      </c>
      <c r="BT117" s="37">
        <v>0</v>
      </c>
      <c r="BU117" s="37">
        <v>0</v>
      </c>
      <c r="BV117" s="37">
        <v>0</v>
      </c>
      <c r="BW117" s="37">
        <v>0</v>
      </c>
      <c r="BX117" s="37">
        <v>0</v>
      </c>
      <c r="BY117" s="43">
        <f>57699-9934-47765</f>
        <v>0</v>
      </c>
      <c r="BZ117" s="37">
        <v>0</v>
      </c>
      <c r="CA117" s="44">
        <f t="shared" si="17"/>
        <v>0</v>
      </c>
    </row>
    <row r="118" spans="1:79" x14ac:dyDescent="0.25">
      <c r="A118" s="52" t="s">
        <v>307</v>
      </c>
      <c r="B118" s="52" t="s">
        <v>308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44">
        <v>0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0</v>
      </c>
      <c r="AU118" s="37">
        <v>0</v>
      </c>
      <c r="AV118" s="37">
        <v>0</v>
      </c>
      <c r="AW118" s="37">
        <v>0</v>
      </c>
      <c r="AX118" s="37">
        <v>0</v>
      </c>
      <c r="AY118" s="37">
        <v>0</v>
      </c>
      <c r="AZ118" s="37">
        <v>0</v>
      </c>
      <c r="BA118" s="37">
        <v>0</v>
      </c>
      <c r="BB118" s="37">
        <v>0</v>
      </c>
      <c r="BC118" s="37">
        <v>0</v>
      </c>
      <c r="BD118" s="37">
        <v>0</v>
      </c>
      <c r="BE118" s="37">
        <v>0</v>
      </c>
      <c r="BF118" s="37">
        <v>0</v>
      </c>
      <c r="BG118" s="37">
        <v>0</v>
      </c>
      <c r="BH118" s="37">
        <v>0</v>
      </c>
      <c r="BI118" s="37">
        <v>0</v>
      </c>
      <c r="BJ118" s="37">
        <v>0</v>
      </c>
      <c r="BK118" s="37">
        <v>0</v>
      </c>
      <c r="BL118" s="37">
        <v>0</v>
      </c>
      <c r="BM118" s="37">
        <v>0</v>
      </c>
      <c r="BN118" s="37">
        <v>0</v>
      </c>
      <c r="BO118" s="37">
        <v>0</v>
      </c>
      <c r="BP118" s="37">
        <v>0</v>
      </c>
      <c r="BQ118" s="37">
        <v>0</v>
      </c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43">
        <f>7821990-309426-7512564</f>
        <v>0</v>
      </c>
      <c r="BZ118" s="37">
        <v>0</v>
      </c>
      <c r="CA118" s="44">
        <f t="shared" si="17"/>
        <v>0</v>
      </c>
    </row>
    <row r="119" spans="1:79" x14ac:dyDescent="0.25">
      <c r="A119" s="52" t="s">
        <v>309</v>
      </c>
      <c r="B119" s="52" t="s">
        <v>310</v>
      </c>
      <c r="AM119" s="44"/>
      <c r="CA119" s="44">
        <f t="shared" si="17"/>
        <v>0</v>
      </c>
    </row>
    <row r="120" spans="1:79" x14ac:dyDescent="0.25">
      <c r="A120" s="52" t="s">
        <v>311</v>
      </c>
      <c r="B120" s="52" t="s">
        <v>312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44">
        <v>0</v>
      </c>
      <c r="AN120" s="37">
        <v>0</v>
      </c>
      <c r="AO120" s="37">
        <v>0</v>
      </c>
      <c r="AP120" s="37">
        <v>0</v>
      </c>
      <c r="AQ120" s="37">
        <v>0</v>
      </c>
      <c r="AR120" s="37">
        <v>0</v>
      </c>
      <c r="AS120" s="37">
        <v>0</v>
      </c>
      <c r="AT120" s="37">
        <v>0</v>
      </c>
      <c r="AU120" s="37">
        <v>0</v>
      </c>
      <c r="AV120" s="37">
        <v>0</v>
      </c>
      <c r="AW120" s="37">
        <v>0</v>
      </c>
      <c r="AX120" s="37">
        <v>0</v>
      </c>
      <c r="AY120" s="37">
        <v>0</v>
      </c>
      <c r="AZ120" s="37">
        <v>0</v>
      </c>
      <c r="BA120" s="37">
        <v>0</v>
      </c>
      <c r="BB120" s="37">
        <v>0</v>
      </c>
      <c r="BC120" s="37">
        <v>0</v>
      </c>
      <c r="BD120" s="37">
        <v>0</v>
      </c>
      <c r="BE120" s="37">
        <v>0</v>
      </c>
      <c r="BF120" s="37">
        <v>0</v>
      </c>
      <c r="BG120" s="37">
        <v>0</v>
      </c>
      <c r="BH120" s="37">
        <v>0</v>
      </c>
      <c r="BI120" s="37">
        <v>0</v>
      </c>
      <c r="BJ120" s="37">
        <v>0</v>
      </c>
      <c r="BK120" s="37">
        <v>0</v>
      </c>
      <c r="BL120" s="37">
        <v>0</v>
      </c>
      <c r="BM120" s="37">
        <v>0</v>
      </c>
      <c r="BN120" s="37">
        <v>0</v>
      </c>
      <c r="BO120" s="37">
        <v>0</v>
      </c>
      <c r="BP120" s="37">
        <v>0</v>
      </c>
      <c r="BQ120" s="37">
        <v>0</v>
      </c>
      <c r="BR120" s="37">
        <v>0</v>
      </c>
      <c r="BS120" s="37">
        <v>0</v>
      </c>
      <c r="BT120" s="37">
        <v>0</v>
      </c>
      <c r="BU120" s="37">
        <v>0</v>
      </c>
      <c r="BV120" s="37">
        <v>0</v>
      </c>
      <c r="BW120" s="37">
        <v>0</v>
      </c>
      <c r="BX120" s="37">
        <v>0</v>
      </c>
      <c r="BY120" s="43">
        <f>2287784-149586-2138198</f>
        <v>0</v>
      </c>
      <c r="BZ120" s="37">
        <v>0</v>
      </c>
      <c r="CA120" s="44">
        <f t="shared" si="17"/>
        <v>0</v>
      </c>
    </row>
    <row r="121" spans="1:79" x14ac:dyDescent="0.25">
      <c r="A121" s="52" t="s">
        <v>313</v>
      </c>
      <c r="B121" s="52" t="s">
        <v>314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44">
        <v>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0</v>
      </c>
      <c r="AU121" s="37">
        <v>0</v>
      </c>
      <c r="AV121" s="37">
        <v>0</v>
      </c>
      <c r="AW121" s="37">
        <v>0</v>
      </c>
      <c r="AX121" s="37">
        <v>0</v>
      </c>
      <c r="AY121" s="37">
        <v>0</v>
      </c>
      <c r="AZ121" s="37">
        <v>0</v>
      </c>
      <c r="BA121" s="37">
        <v>0</v>
      </c>
      <c r="BB121" s="37">
        <v>0</v>
      </c>
      <c r="BC121" s="37">
        <v>0</v>
      </c>
      <c r="BD121" s="37">
        <v>0</v>
      </c>
      <c r="BE121" s="37">
        <v>0</v>
      </c>
      <c r="BF121" s="37">
        <v>0</v>
      </c>
      <c r="BG121" s="37">
        <v>0</v>
      </c>
      <c r="BH121" s="37">
        <v>0</v>
      </c>
      <c r="BI121" s="37">
        <v>0</v>
      </c>
      <c r="BJ121" s="37">
        <v>0</v>
      </c>
      <c r="BK121" s="37">
        <v>0</v>
      </c>
      <c r="BL121" s="37">
        <v>0</v>
      </c>
      <c r="BM121" s="37">
        <v>0</v>
      </c>
      <c r="BN121" s="37">
        <v>0</v>
      </c>
      <c r="BO121" s="37">
        <v>0</v>
      </c>
      <c r="BP121" s="37">
        <v>0</v>
      </c>
      <c r="BQ121" s="37">
        <v>0</v>
      </c>
      <c r="BR121" s="37">
        <v>0</v>
      </c>
      <c r="BS121" s="37">
        <v>0</v>
      </c>
      <c r="BT121" s="37">
        <v>0</v>
      </c>
      <c r="BU121" s="37">
        <v>0</v>
      </c>
      <c r="BV121" s="37">
        <v>0</v>
      </c>
      <c r="BW121" s="37">
        <v>0</v>
      </c>
      <c r="BX121" s="37">
        <v>0</v>
      </c>
      <c r="BY121" s="43">
        <f>376401-33027-343374</f>
        <v>0</v>
      </c>
      <c r="BZ121" s="37">
        <v>0</v>
      </c>
      <c r="CA121" s="44">
        <f t="shared" si="17"/>
        <v>0</v>
      </c>
    </row>
    <row r="122" spans="1:79" x14ac:dyDescent="0.25">
      <c r="A122" s="52" t="s">
        <v>315</v>
      </c>
      <c r="B122" s="52" t="s">
        <v>316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44">
        <v>0</v>
      </c>
      <c r="AN122" s="37">
        <v>0</v>
      </c>
      <c r="AO122" s="37">
        <v>0</v>
      </c>
      <c r="AP122" s="37">
        <v>0</v>
      </c>
      <c r="AQ122" s="37">
        <v>0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7">
        <v>0</v>
      </c>
      <c r="AY122" s="37">
        <v>0</v>
      </c>
      <c r="AZ122" s="37">
        <v>0</v>
      </c>
      <c r="BA122" s="37">
        <v>0</v>
      </c>
      <c r="BB122" s="37">
        <v>0</v>
      </c>
      <c r="BC122" s="37">
        <v>0</v>
      </c>
      <c r="BD122" s="37">
        <v>0</v>
      </c>
      <c r="BE122" s="37">
        <v>0</v>
      </c>
      <c r="BF122" s="37">
        <v>0</v>
      </c>
      <c r="BG122" s="37">
        <v>0</v>
      </c>
      <c r="BH122" s="37">
        <v>0</v>
      </c>
      <c r="BI122" s="37">
        <v>0</v>
      </c>
      <c r="BJ122" s="37">
        <v>0</v>
      </c>
      <c r="BK122" s="37">
        <v>0</v>
      </c>
      <c r="BL122" s="37">
        <v>0</v>
      </c>
      <c r="BM122" s="37">
        <v>0</v>
      </c>
      <c r="BN122" s="37">
        <v>0</v>
      </c>
      <c r="BO122" s="37">
        <v>0</v>
      </c>
      <c r="BP122" s="37">
        <v>0</v>
      </c>
      <c r="BQ122" s="37">
        <v>0</v>
      </c>
      <c r="BR122" s="37">
        <v>0</v>
      </c>
      <c r="BS122" s="37">
        <v>0</v>
      </c>
      <c r="BT122" s="37">
        <v>0</v>
      </c>
      <c r="BU122" s="37">
        <v>0</v>
      </c>
      <c r="BV122" s="37">
        <v>0</v>
      </c>
      <c r="BW122" s="37">
        <v>0</v>
      </c>
      <c r="BX122" s="37">
        <v>0</v>
      </c>
      <c r="BY122" s="43">
        <f>40497-169-40328</f>
        <v>0</v>
      </c>
      <c r="BZ122" s="37">
        <v>0</v>
      </c>
      <c r="CA122" s="44">
        <f t="shared" si="17"/>
        <v>0</v>
      </c>
    </row>
    <row r="123" spans="1:79" x14ac:dyDescent="0.25">
      <c r="A123" s="52" t="s">
        <v>317</v>
      </c>
      <c r="B123" s="52" t="s">
        <v>318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43">
        <v>82877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  <c r="Z123" s="43">
        <v>309543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43">
        <v>115228</v>
      </c>
      <c r="AJ123" s="37">
        <v>0</v>
      </c>
      <c r="AK123" s="37">
        <v>0</v>
      </c>
      <c r="AL123" s="37">
        <v>0</v>
      </c>
      <c r="AM123" s="44">
        <v>0</v>
      </c>
      <c r="AN123" s="37">
        <v>0</v>
      </c>
      <c r="AO123" s="37">
        <v>0</v>
      </c>
      <c r="AP123" s="37">
        <v>0</v>
      </c>
      <c r="AQ123" s="37">
        <v>0</v>
      </c>
      <c r="AR123" s="37">
        <v>0</v>
      </c>
      <c r="AS123" s="37">
        <v>0</v>
      </c>
      <c r="AT123" s="37">
        <v>0</v>
      </c>
      <c r="AU123" s="37">
        <v>0</v>
      </c>
      <c r="AV123" s="43">
        <v>442358</v>
      </c>
      <c r="AW123" s="37">
        <v>0</v>
      </c>
      <c r="AX123" s="37">
        <v>0</v>
      </c>
      <c r="AY123" s="37">
        <v>0</v>
      </c>
      <c r="AZ123" s="37">
        <v>0</v>
      </c>
      <c r="BA123" s="37">
        <v>0</v>
      </c>
      <c r="BB123" s="37">
        <v>0</v>
      </c>
      <c r="BC123" s="37">
        <v>0</v>
      </c>
      <c r="BD123" s="37">
        <v>0</v>
      </c>
      <c r="BE123" s="37">
        <v>0</v>
      </c>
      <c r="BF123" s="43">
        <v>83622</v>
      </c>
      <c r="BG123" s="37">
        <v>0</v>
      </c>
      <c r="BH123" s="37">
        <v>0</v>
      </c>
      <c r="BI123" s="37">
        <v>0</v>
      </c>
      <c r="BJ123" s="37">
        <v>0</v>
      </c>
      <c r="BK123" s="37">
        <v>0</v>
      </c>
      <c r="BL123" s="37">
        <v>0</v>
      </c>
      <c r="BM123" s="37">
        <v>0</v>
      </c>
      <c r="BN123" s="37">
        <v>0</v>
      </c>
      <c r="BO123" s="37">
        <v>0</v>
      </c>
      <c r="BP123" s="37">
        <v>0</v>
      </c>
      <c r="BQ123" s="37">
        <v>0</v>
      </c>
      <c r="BR123" s="37">
        <v>0</v>
      </c>
      <c r="BS123" s="37">
        <v>0</v>
      </c>
      <c r="BT123" s="37">
        <v>0</v>
      </c>
      <c r="BU123" s="37">
        <v>0</v>
      </c>
      <c r="BV123" s="43">
        <v>7734</v>
      </c>
      <c r="BW123" s="37">
        <v>0</v>
      </c>
      <c r="BX123" s="37">
        <v>0</v>
      </c>
      <c r="BY123" s="37">
        <v>0</v>
      </c>
      <c r="BZ123" s="37">
        <v>0</v>
      </c>
      <c r="CA123" s="44">
        <f t="shared" si="17"/>
        <v>1041362</v>
      </c>
    </row>
    <row r="124" spans="1:79" x14ac:dyDescent="0.25">
      <c r="A124" s="52" t="s">
        <v>319</v>
      </c>
      <c r="B124" s="52" t="s">
        <v>320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44">
        <v>0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37">
        <v>0</v>
      </c>
      <c r="BH124" s="37">
        <v>0</v>
      </c>
      <c r="BI124" s="37">
        <v>0</v>
      </c>
      <c r="BJ124" s="37">
        <v>0</v>
      </c>
      <c r="BK124" s="37">
        <v>0</v>
      </c>
      <c r="BL124" s="37">
        <v>0</v>
      </c>
      <c r="BM124" s="37">
        <v>0</v>
      </c>
      <c r="BN124" s="37">
        <v>0</v>
      </c>
      <c r="BO124" s="37">
        <v>0</v>
      </c>
      <c r="BP124" s="37">
        <v>0</v>
      </c>
      <c r="BQ124" s="37">
        <v>0</v>
      </c>
      <c r="BR124" s="37">
        <v>0</v>
      </c>
      <c r="BS124" s="37">
        <v>0</v>
      </c>
      <c r="BT124" s="37">
        <v>0</v>
      </c>
      <c r="BU124" s="37">
        <v>0</v>
      </c>
      <c r="BV124" s="37">
        <v>0</v>
      </c>
      <c r="BW124" s="37">
        <v>0</v>
      </c>
      <c r="BX124" s="37">
        <v>0</v>
      </c>
      <c r="BY124" s="43">
        <f>1675562-127777-1547785</f>
        <v>0</v>
      </c>
      <c r="BZ124" s="37">
        <v>0</v>
      </c>
      <c r="CA124" s="44">
        <f t="shared" si="17"/>
        <v>0</v>
      </c>
    </row>
    <row r="125" spans="1:79" x14ac:dyDescent="0.25">
      <c r="A125" s="52" t="s">
        <v>321</v>
      </c>
      <c r="B125" s="52" t="s">
        <v>322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44">
        <v>0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0</v>
      </c>
      <c r="AW125" s="37">
        <v>0</v>
      </c>
      <c r="AX125" s="37">
        <v>0</v>
      </c>
      <c r="AY125" s="37">
        <v>0</v>
      </c>
      <c r="AZ125" s="37">
        <v>0</v>
      </c>
      <c r="BA125" s="37">
        <v>0</v>
      </c>
      <c r="BB125" s="37">
        <v>0</v>
      </c>
      <c r="BC125" s="37">
        <v>0</v>
      </c>
      <c r="BD125" s="37">
        <v>0</v>
      </c>
      <c r="BE125" s="37">
        <v>0</v>
      </c>
      <c r="BF125" s="37">
        <v>0</v>
      </c>
      <c r="BG125" s="37">
        <v>0</v>
      </c>
      <c r="BH125" s="37">
        <v>0</v>
      </c>
      <c r="BI125" s="37">
        <v>0</v>
      </c>
      <c r="BJ125" s="37">
        <v>0</v>
      </c>
      <c r="BK125" s="37">
        <v>0</v>
      </c>
      <c r="BL125" s="37">
        <v>0</v>
      </c>
      <c r="BM125" s="37">
        <v>0</v>
      </c>
      <c r="BN125" s="37">
        <v>0</v>
      </c>
      <c r="BO125" s="37">
        <v>0</v>
      </c>
      <c r="BP125" s="37">
        <v>0</v>
      </c>
      <c r="BQ125" s="37">
        <v>0</v>
      </c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43">
        <f>9079667-817081-8262586</f>
        <v>0</v>
      </c>
      <c r="BZ125" s="37">
        <v>0</v>
      </c>
      <c r="CA125" s="44">
        <f t="shared" si="17"/>
        <v>0</v>
      </c>
    </row>
    <row r="126" spans="1:79" x14ac:dyDescent="0.25">
      <c r="A126" s="52" t="s">
        <v>323</v>
      </c>
      <c r="B126" s="52" t="s">
        <v>324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44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37">
        <v>0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  <c r="BL126" s="37">
        <v>0</v>
      </c>
      <c r="BM126" s="37">
        <v>0</v>
      </c>
      <c r="BN126" s="37">
        <v>0</v>
      </c>
      <c r="BO126" s="37">
        <v>0</v>
      </c>
      <c r="BP126" s="37">
        <v>0</v>
      </c>
      <c r="BQ126" s="37">
        <v>0</v>
      </c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44">
        <f t="shared" si="17"/>
        <v>0</v>
      </c>
    </row>
    <row r="127" spans="1:79" x14ac:dyDescent="0.25">
      <c r="A127" s="52" t="s">
        <v>325</v>
      </c>
      <c r="B127" s="52" t="s">
        <v>326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44">
        <v>0</v>
      </c>
      <c r="AN127" s="37">
        <v>0</v>
      </c>
      <c r="AO127" s="37">
        <v>0</v>
      </c>
      <c r="AP127" s="37">
        <v>0</v>
      </c>
      <c r="AQ127" s="37">
        <v>0</v>
      </c>
      <c r="AR127" s="37">
        <v>0</v>
      </c>
      <c r="AS127" s="37">
        <v>0</v>
      </c>
      <c r="AT127" s="37">
        <v>0</v>
      </c>
      <c r="AU127" s="37">
        <v>0</v>
      </c>
      <c r="AV127" s="37">
        <v>0</v>
      </c>
      <c r="AW127" s="37">
        <v>0</v>
      </c>
      <c r="AX127" s="37">
        <v>0</v>
      </c>
      <c r="AY127" s="37">
        <v>0</v>
      </c>
      <c r="AZ127" s="37">
        <v>0</v>
      </c>
      <c r="BA127" s="37">
        <v>0</v>
      </c>
      <c r="BB127" s="37">
        <v>0</v>
      </c>
      <c r="BC127" s="37">
        <v>0</v>
      </c>
      <c r="BD127" s="37">
        <v>0</v>
      </c>
      <c r="BE127" s="37">
        <v>0</v>
      </c>
      <c r="BF127" s="37">
        <v>0</v>
      </c>
      <c r="BG127" s="37">
        <v>0</v>
      </c>
      <c r="BH127" s="37">
        <v>0</v>
      </c>
      <c r="BI127" s="37">
        <v>0</v>
      </c>
      <c r="BJ127" s="37">
        <v>0</v>
      </c>
      <c r="BK127" s="37">
        <v>0</v>
      </c>
      <c r="BL127" s="37">
        <v>0</v>
      </c>
      <c r="BM127" s="37">
        <v>0</v>
      </c>
      <c r="BN127" s="37">
        <v>0</v>
      </c>
      <c r="BO127" s="37">
        <v>0</v>
      </c>
      <c r="BP127" s="37">
        <v>0</v>
      </c>
      <c r="BQ127" s="37">
        <v>0</v>
      </c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43">
        <f>18961-18961</f>
        <v>0</v>
      </c>
      <c r="BZ127" s="37">
        <v>0</v>
      </c>
      <c r="CA127" s="44">
        <f t="shared" si="17"/>
        <v>0</v>
      </c>
    </row>
    <row r="128" spans="1:79" x14ac:dyDescent="0.25">
      <c r="A128" s="52" t="s">
        <v>327</v>
      </c>
      <c r="B128" s="52" t="s">
        <v>328</v>
      </c>
      <c r="C128" s="43">
        <v>46160</v>
      </c>
      <c r="D128" s="43">
        <v>338710</v>
      </c>
      <c r="E128" s="43">
        <v>14908</v>
      </c>
      <c r="F128" s="43">
        <v>172172</v>
      </c>
      <c r="G128" s="43">
        <v>62830</v>
      </c>
      <c r="H128" s="43">
        <v>45204</v>
      </c>
      <c r="I128" s="43">
        <v>41666</v>
      </c>
      <c r="J128" s="43">
        <v>198876</v>
      </c>
      <c r="K128" s="43">
        <v>31743</v>
      </c>
      <c r="L128" s="43">
        <v>35272</v>
      </c>
      <c r="M128" s="43">
        <v>20949</v>
      </c>
      <c r="N128" s="43">
        <v>100389</v>
      </c>
      <c r="O128" s="43">
        <v>545162</v>
      </c>
      <c r="P128" s="43">
        <v>16803</v>
      </c>
      <c r="Q128" s="43">
        <v>261149</v>
      </c>
      <c r="R128" s="43">
        <v>123518</v>
      </c>
      <c r="S128" s="43">
        <v>79959</v>
      </c>
      <c r="T128" s="43">
        <v>116935</v>
      </c>
      <c r="U128" s="37">
        <v>0</v>
      </c>
      <c r="V128" s="43">
        <v>73193</v>
      </c>
      <c r="W128" s="43">
        <v>146659</v>
      </c>
      <c r="X128" s="43">
        <v>26077</v>
      </c>
      <c r="Y128" s="43">
        <v>70208</v>
      </c>
      <c r="Z128" s="43">
        <v>420442</v>
      </c>
      <c r="AA128" s="43">
        <v>27399</v>
      </c>
      <c r="AB128" s="43">
        <v>46835</v>
      </c>
      <c r="AC128" s="43">
        <v>20427</v>
      </c>
      <c r="AD128" s="43">
        <v>246063</v>
      </c>
      <c r="AE128" s="43">
        <v>20221</v>
      </c>
      <c r="AF128" s="43">
        <v>55835</v>
      </c>
      <c r="AG128" s="43">
        <v>24752</v>
      </c>
      <c r="AH128" s="43">
        <v>80084</v>
      </c>
      <c r="AI128" s="43">
        <v>1173441</v>
      </c>
      <c r="AJ128" s="43">
        <v>135644</v>
      </c>
      <c r="AK128" s="43">
        <v>16211</v>
      </c>
      <c r="AL128" s="43">
        <v>16571</v>
      </c>
      <c r="AM128" s="44">
        <v>38204</v>
      </c>
      <c r="AN128" s="43">
        <v>543173</v>
      </c>
      <c r="AO128" s="37">
        <v>0</v>
      </c>
      <c r="AP128" s="43">
        <v>180735</v>
      </c>
      <c r="AQ128" s="43">
        <v>244793</v>
      </c>
      <c r="AR128" s="43">
        <v>89465</v>
      </c>
      <c r="AS128" s="43">
        <v>47464</v>
      </c>
      <c r="AT128" s="43">
        <v>24291</v>
      </c>
      <c r="AU128" s="43">
        <v>460475</v>
      </c>
      <c r="AV128" s="43">
        <v>128506</v>
      </c>
      <c r="AW128" s="43">
        <v>32778</v>
      </c>
      <c r="AX128" s="43">
        <v>70817</v>
      </c>
      <c r="AY128" s="43">
        <v>258760</v>
      </c>
      <c r="AZ128" s="43">
        <v>5794</v>
      </c>
      <c r="BA128" s="43">
        <v>70617</v>
      </c>
      <c r="BB128" s="43">
        <v>58288</v>
      </c>
      <c r="BC128" s="43">
        <v>87405</v>
      </c>
      <c r="BD128" s="43">
        <v>112185</v>
      </c>
      <c r="BE128" s="43">
        <v>170517</v>
      </c>
      <c r="BF128" s="43">
        <v>225342</v>
      </c>
      <c r="BG128" s="43">
        <v>293800</v>
      </c>
      <c r="BH128" s="43">
        <v>478656</v>
      </c>
      <c r="BI128" s="43">
        <v>44251</v>
      </c>
      <c r="BJ128" s="43">
        <v>86205</v>
      </c>
      <c r="BK128" s="43">
        <v>196387</v>
      </c>
      <c r="BL128" s="43">
        <v>45092</v>
      </c>
      <c r="BM128" s="43">
        <v>45574</v>
      </c>
      <c r="BN128" s="43">
        <v>141909</v>
      </c>
      <c r="BO128" s="43">
        <v>194522</v>
      </c>
      <c r="BP128" s="43">
        <v>107813</v>
      </c>
      <c r="BQ128" s="43">
        <v>257235</v>
      </c>
      <c r="BR128" s="43">
        <v>68528</v>
      </c>
      <c r="BS128" s="43">
        <v>46866</v>
      </c>
      <c r="BT128" s="43">
        <v>91006</v>
      </c>
      <c r="BU128" s="43">
        <v>107591</v>
      </c>
      <c r="BV128" s="43">
        <v>255697</v>
      </c>
      <c r="BW128" s="43">
        <v>258414</v>
      </c>
      <c r="BX128" s="43">
        <f>827462-2707-30311-7210-4242-2318-5487-16852-7755-15943-22749-11260-4785-7681-6369-11859-11893-31432-6361-9251-2878-41660-7005-8384-1882-2298-7393-11492-5295-16136-8671-12412-9203-4282-40675-6967</f>
        <v>424364</v>
      </c>
      <c r="BY128" s="43">
        <f>994064-5557-17296-10481-4305-11407-115509-12709-11852-12577-22646-5316-14889-9574-17015-128072-58849-2898-2302-7912-8080-9583-15317</f>
        <v>489918</v>
      </c>
      <c r="BZ128" s="43">
        <f>51012-5691</f>
        <v>45321</v>
      </c>
      <c r="CA128" s="44">
        <f t="shared" si="17"/>
        <v>11381225</v>
      </c>
    </row>
    <row r="129" spans="1:79" x14ac:dyDescent="0.25">
      <c r="A129" s="52" t="s">
        <v>329</v>
      </c>
      <c r="B129" s="52" t="s">
        <v>330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44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7">
        <v>0</v>
      </c>
      <c r="AY129" s="37">
        <v>0</v>
      </c>
      <c r="AZ129" s="37">
        <v>0</v>
      </c>
      <c r="BA129" s="37">
        <v>0</v>
      </c>
      <c r="BB129" s="37">
        <v>0</v>
      </c>
      <c r="BC129" s="37">
        <v>0</v>
      </c>
      <c r="BD129" s="37">
        <v>0</v>
      </c>
      <c r="BE129" s="37">
        <v>0</v>
      </c>
      <c r="BF129" s="37">
        <v>0</v>
      </c>
      <c r="BG129" s="37">
        <v>0</v>
      </c>
      <c r="BH129" s="37">
        <v>0</v>
      </c>
      <c r="BI129" s="37">
        <v>0</v>
      </c>
      <c r="BJ129" s="37">
        <v>0</v>
      </c>
      <c r="BK129" s="37">
        <v>0</v>
      </c>
      <c r="BL129" s="37">
        <v>0</v>
      </c>
      <c r="BM129" s="37">
        <v>0</v>
      </c>
      <c r="BN129" s="37">
        <v>0</v>
      </c>
      <c r="BO129" s="37">
        <v>0</v>
      </c>
      <c r="BP129" s="37">
        <v>0</v>
      </c>
      <c r="BQ129" s="37">
        <v>0</v>
      </c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44">
        <f t="shared" si="17"/>
        <v>0</v>
      </c>
    </row>
    <row r="130" spans="1:79" x14ac:dyDescent="0.25">
      <c r="A130" s="52" t="s">
        <v>331</v>
      </c>
      <c r="B130" s="52" t="s">
        <v>332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44">
        <v>0</v>
      </c>
      <c r="AN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37">
        <v>0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37">
        <v>0</v>
      </c>
      <c r="BD130" s="37">
        <v>0</v>
      </c>
      <c r="BE130" s="37">
        <v>0</v>
      </c>
      <c r="BF130" s="37">
        <v>0</v>
      </c>
      <c r="BG130" s="37">
        <v>0</v>
      </c>
      <c r="BH130" s="37">
        <v>0</v>
      </c>
      <c r="BI130" s="37">
        <v>0</v>
      </c>
      <c r="BJ130" s="37">
        <v>0</v>
      </c>
      <c r="BK130" s="37">
        <v>0</v>
      </c>
      <c r="BL130" s="37">
        <v>0</v>
      </c>
      <c r="BM130" s="37">
        <v>0</v>
      </c>
      <c r="BN130" s="37">
        <v>0</v>
      </c>
      <c r="BO130" s="37">
        <v>0</v>
      </c>
      <c r="BP130" s="37">
        <v>0</v>
      </c>
      <c r="BQ130" s="37">
        <v>0</v>
      </c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43">
        <f>14582636-14582636</f>
        <v>0</v>
      </c>
      <c r="BY130" s="43">
        <f>35257-35257</f>
        <v>0</v>
      </c>
      <c r="BZ130" s="37">
        <v>0</v>
      </c>
      <c r="CA130" s="44">
        <f t="shared" si="17"/>
        <v>0</v>
      </c>
    </row>
    <row r="131" spans="1:79" x14ac:dyDescent="0.25">
      <c r="A131" s="52" t="s">
        <v>333</v>
      </c>
      <c r="B131" s="52" t="s">
        <v>334</v>
      </c>
      <c r="AM131" s="44"/>
      <c r="CA131" s="44">
        <f t="shared" si="17"/>
        <v>0</v>
      </c>
    </row>
    <row r="132" spans="1:79" x14ac:dyDescent="0.25">
      <c r="A132" s="52" t="s">
        <v>335</v>
      </c>
      <c r="B132" s="52" t="s">
        <v>336</v>
      </c>
      <c r="C132" s="43">
        <v>1274</v>
      </c>
      <c r="D132" s="43">
        <v>33541</v>
      </c>
      <c r="E132" s="43">
        <v>1875</v>
      </c>
      <c r="F132" s="43">
        <v>3479</v>
      </c>
      <c r="G132" s="43">
        <v>1476</v>
      </c>
      <c r="H132" s="43">
        <v>1841</v>
      </c>
      <c r="I132" s="43">
        <v>1051</v>
      </c>
      <c r="J132" s="43">
        <v>17604</v>
      </c>
      <c r="K132" s="43">
        <v>1051</v>
      </c>
      <c r="L132" s="37">
        <v>263</v>
      </c>
      <c r="M132" s="37">
        <v>16</v>
      </c>
      <c r="N132" s="43">
        <f>35531-564</f>
        <v>34967</v>
      </c>
      <c r="O132" s="43">
        <v>38846</v>
      </c>
      <c r="P132" s="43">
        <v>2103</v>
      </c>
      <c r="Q132" s="43">
        <f>20439-1284-1380</f>
        <v>17775</v>
      </c>
      <c r="R132" s="43">
        <v>6047</v>
      </c>
      <c r="S132" s="43">
        <v>8174</v>
      </c>
      <c r="T132" s="43">
        <v>4732</v>
      </c>
      <c r="U132" s="37">
        <v>0</v>
      </c>
      <c r="V132" s="43">
        <v>7930</v>
      </c>
      <c r="W132" s="43">
        <v>27424</v>
      </c>
      <c r="X132" s="43">
        <v>1840</v>
      </c>
      <c r="Y132" s="43">
        <v>1052</v>
      </c>
      <c r="Z132" s="37">
        <v>396</v>
      </c>
      <c r="AA132" s="43">
        <v>1577</v>
      </c>
      <c r="AB132" s="37">
        <v>789</v>
      </c>
      <c r="AC132" s="43">
        <v>5521</v>
      </c>
      <c r="AD132" s="43">
        <v>16791</v>
      </c>
      <c r="AE132" s="37">
        <v>526</v>
      </c>
      <c r="AF132" s="43">
        <v>4319</v>
      </c>
      <c r="AG132" s="37">
        <v>789</v>
      </c>
      <c r="AH132" s="43">
        <v>11831</v>
      </c>
      <c r="AI132" s="43">
        <v>107192</v>
      </c>
      <c r="AJ132" s="43">
        <v>15907</v>
      </c>
      <c r="AK132" s="43">
        <v>1577</v>
      </c>
      <c r="AL132" s="37">
        <v>788</v>
      </c>
      <c r="AM132" s="44">
        <v>526</v>
      </c>
      <c r="AN132" s="43">
        <v>40225</v>
      </c>
      <c r="AO132" s="37">
        <v>0</v>
      </c>
      <c r="AP132" s="43">
        <v>7064</v>
      </c>
      <c r="AQ132" s="43">
        <v>14452</v>
      </c>
      <c r="AR132" s="37">
        <v>0</v>
      </c>
      <c r="AS132" s="37">
        <v>0</v>
      </c>
      <c r="AT132" s="43">
        <v>5236</v>
      </c>
      <c r="AU132" s="43">
        <v>32318</v>
      </c>
      <c r="AV132" s="43">
        <v>9435</v>
      </c>
      <c r="AW132" s="43">
        <v>1970</v>
      </c>
      <c r="AX132" s="43">
        <v>2850</v>
      </c>
      <c r="AY132" s="43">
        <v>12703</v>
      </c>
      <c r="AZ132" s="43">
        <v>1315</v>
      </c>
      <c r="BA132" s="43">
        <v>6832</v>
      </c>
      <c r="BB132" s="43">
        <v>4206</v>
      </c>
      <c r="BC132" s="43">
        <v>3560</v>
      </c>
      <c r="BD132" s="43">
        <v>10775</v>
      </c>
      <c r="BE132" s="43">
        <v>13901</v>
      </c>
      <c r="BF132" s="43">
        <v>17880</v>
      </c>
      <c r="BG132" s="43">
        <v>72015</v>
      </c>
      <c r="BH132" s="43">
        <v>45193</v>
      </c>
      <c r="BI132" s="37">
        <v>0</v>
      </c>
      <c r="BJ132" s="43">
        <v>7002</v>
      </c>
      <c r="BK132" s="43">
        <v>10773</v>
      </c>
      <c r="BL132" s="43">
        <v>1509</v>
      </c>
      <c r="BM132" s="43">
        <v>3944</v>
      </c>
      <c r="BN132" s="43">
        <v>2584</v>
      </c>
      <c r="BO132" s="43">
        <v>15864</v>
      </c>
      <c r="BP132" s="43">
        <v>4124</v>
      </c>
      <c r="BQ132" s="43">
        <v>11653059</v>
      </c>
      <c r="BR132" s="43">
        <v>6850</v>
      </c>
      <c r="BS132" s="37">
        <v>0</v>
      </c>
      <c r="BT132" s="43">
        <v>4133</v>
      </c>
      <c r="BU132" s="43">
        <v>7099</v>
      </c>
      <c r="BV132" s="43">
        <v>18321</v>
      </c>
      <c r="BW132" s="43">
        <v>17842</v>
      </c>
      <c r="BX132" s="43">
        <f>33096-800-400-1000-1600-400-1400-1200-2800-1000-400-400-200-800-400</f>
        <v>20296</v>
      </c>
      <c r="BY132" s="43">
        <f>275838-267425</f>
        <v>8413</v>
      </c>
      <c r="BZ132" s="37">
        <v>0</v>
      </c>
      <c r="CA132" s="44">
        <f t="shared" si="17"/>
        <v>12466633</v>
      </c>
    </row>
    <row r="133" spans="1:79" x14ac:dyDescent="0.25">
      <c r="A133" s="52" t="s">
        <v>1370</v>
      </c>
      <c r="B133" s="52" t="s">
        <v>1369</v>
      </c>
      <c r="C133" s="43">
        <v>2109715</v>
      </c>
      <c r="D133" s="43">
        <v>15804129</v>
      </c>
      <c r="E133" s="43">
        <v>688561</v>
      </c>
      <c r="F133" s="43">
        <v>7817757</v>
      </c>
      <c r="G133" s="43">
        <v>2823489</v>
      </c>
      <c r="H133" s="43">
        <v>2046819</v>
      </c>
      <c r="I133" s="43">
        <v>1980176</v>
      </c>
      <c r="J133" s="43">
        <v>9227760</v>
      </c>
      <c r="K133" s="43">
        <v>1427501</v>
      </c>
      <c r="L133" s="43">
        <v>1586463</v>
      </c>
      <c r="M133" s="43">
        <v>958433</v>
      </c>
      <c r="N133" s="43">
        <f>2600224-189029</f>
        <v>2411195</v>
      </c>
      <c r="O133" s="43">
        <v>25408853</v>
      </c>
      <c r="P133" s="43">
        <v>857324</v>
      </c>
      <c r="Q133" s="43">
        <f>18092935-79630-127535-194163-130842-25413-515216-362651-33293</f>
        <v>16624192</v>
      </c>
      <c r="R133" s="43">
        <v>5699943</v>
      </c>
      <c r="S133" s="43">
        <v>3355333</v>
      </c>
      <c r="T133" s="43">
        <v>5288029</v>
      </c>
      <c r="U133" s="37">
        <v>0</v>
      </c>
      <c r="V133" s="43">
        <v>3465015</v>
      </c>
      <c r="W133" s="43">
        <v>6776856</v>
      </c>
      <c r="X133" s="43">
        <v>1164114</v>
      </c>
      <c r="Y133" s="37">
        <v>0</v>
      </c>
      <c r="Z133" s="43">
        <v>17389853</v>
      </c>
      <c r="AA133" s="43">
        <v>1318025</v>
      </c>
      <c r="AB133" s="43">
        <v>2186615</v>
      </c>
      <c r="AC133" s="43">
        <v>1113922</v>
      </c>
      <c r="AD133" s="43">
        <v>6342428</v>
      </c>
      <c r="AE133" s="37">
        <v>0</v>
      </c>
      <c r="AF133" s="43">
        <v>2514200</v>
      </c>
      <c r="AG133" s="43">
        <v>1097208</v>
      </c>
      <c r="AH133" s="43">
        <f>3814883-115729</f>
        <v>3699154</v>
      </c>
      <c r="AI133" s="43">
        <v>54445702</v>
      </c>
      <c r="AJ133" s="43">
        <v>6220454</v>
      </c>
      <c r="AK133" s="43">
        <v>727026</v>
      </c>
      <c r="AL133" s="43">
        <v>824984</v>
      </c>
      <c r="AM133" s="44">
        <v>1747328</v>
      </c>
      <c r="AN133" s="43">
        <f>27461612-59881-75391-186254-96613</f>
        <v>27043473</v>
      </c>
      <c r="AO133" s="37">
        <v>0</v>
      </c>
      <c r="AP133" s="43">
        <v>8215990</v>
      </c>
      <c r="AQ133" s="43">
        <v>11107716</v>
      </c>
      <c r="AR133" s="43">
        <v>4065598</v>
      </c>
      <c r="AS133" s="43">
        <v>2160995</v>
      </c>
      <c r="AT133" s="43">
        <v>1123517</v>
      </c>
      <c r="AU133" s="43">
        <v>20839737</v>
      </c>
      <c r="AV133" s="43">
        <v>6073686</v>
      </c>
      <c r="AW133" s="43">
        <v>1494354</v>
      </c>
      <c r="AX133" s="43">
        <v>3135500</v>
      </c>
      <c r="AY133" s="43">
        <v>11930381</v>
      </c>
      <c r="AZ133" s="43">
        <v>310875</v>
      </c>
      <c r="BA133" s="37">
        <v>0</v>
      </c>
      <c r="BB133" s="43">
        <v>2661171</v>
      </c>
      <c r="BC133" s="43">
        <v>4050216</v>
      </c>
      <c r="BD133" s="43">
        <v>5737961</v>
      </c>
      <c r="BE133" s="43">
        <v>7919526</v>
      </c>
      <c r="BF133" s="43">
        <v>10652577</v>
      </c>
      <c r="BG133" s="43">
        <v>14067893</v>
      </c>
      <c r="BH133" s="43">
        <v>21534764</v>
      </c>
      <c r="BI133" s="43">
        <v>1999070</v>
      </c>
      <c r="BJ133" s="43">
        <v>3910523</v>
      </c>
      <c r="BK133" s="43">
        <v>8877570</v>
      </c>
      <c r="BL133" s="43">
        <v>2064216</v>
      </c>
      <c r="BM133" s="43">
        <v>2082947</v>
      </c>
      <c r="BN133" s="43">
        <v>6708287</v>
      </c>
      <c r="BO133" s="43">
        <v>6691774</v>
      </c>
      <c r="BP133" s="43">
        <v>5053182</v>
      </c>
      <c r="BQ133" s="37">
        <v>0</v>
      </c>
      <c r="BR133" s="43">
        <v>3111641</v>
      </c>
      <c r="BS133" s="43">
        <v>2195857</v>
      </c>
      <c r="BT133" s="43">
        <v>3101805</v>
      </c>
      <c r="BU133" s="43">
        <v>5139320</v>
      </c>
      <c r="BV133" s="43">
        <v>11828008</v>
      </c>
      <c r="BW133" s="43">
        <v>12454181</v>
      </c>
      <c r="BX133" s="43">
        <f>52344004-167968-1880653-447380-143820-340476-1045619-481170-989221-1411466-698648-296913-476570-395182-735788-737903-1950245-394706-573966-178553-2584853-492442-434634-520175-149329-142590-458750-713050-283481-490497-1001193-538022-770103-571038-265687-2523738-432296</f>
        <v>26625879</v>
      </c>
      <c r="BY133" s="43">
        <f>58446399-345224-1074431-651075-708648-1177906-789493-736357-781329-1406845-330254-924942-594771-1057029-7954540-3655842-180050-143014-491484-3461776-595242-951499</f>
        <v>30434648</v>
      </c>
      <c r="BZ133" s="43">
        <f>5630914-360466-1817753-637238</f>
        <v>2815457</v>
      </c>
      <c r="CA133" s="44">
        <f t="shared" si="17"/>
        <v>516368851</v>
      </c>
    </row>
    <row r="134" spans="1:79" x14ac:dyDescent="0.25">
      <c r="A134" s="52" t="s">
        <v>337</v>
      </c>
      <c r="B134" s="52" t="s">
        <v>338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43">
        <v>32090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43">
        <v>11858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44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37">
        <v>0</v>
      </c>
      <c r="BA134" s="43">
        <v>3392</v>
      </c>
      <c r="BB134" s="37">
        <v>0</v>
      </c>
      <c r="BC134" s="37">
        <v>0</v>
      </c>
      <c r="BD134" s="37">
        <v>0</v>
      </c>
      <c r="BE134" s="37">
        <v>0</v>
      </c>
      <c r="BF134" s="37">
        <v>0</v>
      </c>
      <c r="BG134" s="37">
        <v>0</v>
      </c>
      <c r="BH134" s="37">
        <v>0</v>
      </c>
      <c r="BI134" s="37">
        <v>0</v>
      </c>
      <c r="BJ134" s="37">
        <v>0</v>
      </c>
      <c r="BK134" s="37">
        <v>0</v>
      </c>
      <c r="BL134" s="37">
        <v>0</v>
      </c>
      <c r="BM134" s="37">
        <v>0</v>
      </c>
      <c r="BN134" s="37">
        <v>0</v>
      </c>
      <c r="BO134" s="37">
        <v>0</v>
      </c>
      <c r="BP134" s="37">
        <v>0</v>
      </c>
      <c r="BQ134" s="37">
        <v>0</v>
      </c>
      <c r="BR134" s="37">
        <v>0</v>
      </c>
      <c r="BS134" s="37">
        <v>0</v>
      </c>
      <c r="BT134" s="37">
        <v>0</v>
      </c>
      <c r="BU134" s="37">
        <v>0</v>
      </c>
      <c r="BV134" s="37">
        <v>0</v>
      </c>
      <c r="BW134" s="37">
        <v>0</v>
      </c>
      <c r="BX134" s="37">
        <v>0</v>
      </c>
      <c r="BY134" s="37">
        <v>0</v>
      </c>
      <c r="BZ134" s="37">
        <v>0</v>
      </c>
      <c r="CA134" s="44">
        <f t="shared" si="17"/>
        <v>47340</v>
      </c>
    </row>
    <row r="135" spans="1:79" x14ac:dyDescent="0.25">
      <c r="A135" s="52" t="s">
        <v>339</v>
      </c>
      <c r="B135" s="52" t="s">
        <v>340</v>
      </c>
      <c r="C135" s="37">
        <v>0</v>
      </c>
      <c r="D135" s="43">
        <v>37932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43">
        <v>20000</v>
      </c>
      <c r="N135" s="43">
        <v>8432</v>
      </c>
      <c r="O135" s="43">
        <v>42317</v>
      </c>
      <c r="P135" s="37">
        <v>0</v>
      </c>
      <c r="Q135" s="43">
        <v>95824</v>
      </c>
      <c r="R135" s="37">
        <v>0</v>
      </c>
      <c r="S135" s="43">
        <v>12148</v>
      </c>
      <c r="T135" s="43">
        <v>29282</v>
      </c>
      <c r="U135" s="37">
        <v>0</v>
      </c>
      <c r="V135" s="37">
        <v>0</v>
      </c>
      <c r="W135" s="43">
        <v>11520</v>
      </c>
      <c r="X135" s="37">
        <v>0</v>
      </c>
      <c r="Y135" s="37">
        <v>0</v>
      </c>
      <c r="Z135" s="43">
        <v>95425</v>
      </c>
      <c r="AA135" s="37">
        <v>0</v>
      </c>
      <c r="AB135" s="37">
        <v>0</v>
      </c>
      <c r="AC135" s="37">
        <v>0</v>
      </c>
      <c r="AD135" s="43">
        <v>38373</v>
      </c>
      <c r="AE135" s="37">
        <v>0</v>
      </c>
      <c r="AF135" s="43">
        <v>41092</v>
      </c>
      <c r="AG135" s="37">
        <v>0</v>
      </c>
      <c r="AH135" s="37">
        <v>0</v>
      </c>
      <c r="AI135" s="43">
        <v>21883</v>
      </c>
      <c r="AJ135" s="43">
        <v>22908</v>
      </c>
      <c r="AK135" s="37">
        <v>0</v>
      </c>
      <c r="AL135" s="37">
        <v>0</v>
      </c>
      <c r="AM135" s="44">
        <v>0</v>
      </c>
      <c r="AN135" s="43">
        <v>191750</v>
      </c>
      <c r="AO135" s="37">
        <v>0</v>
      </c>
      <c r="AP135" s="43">
        <v>18497</v>
      </c>
      <c r="AQ135" s="43">
        <v>48749</v>
      </c>
      <c r="AR135" s="43">
        <v>55100</v>
      </c>
      <c r="AS135" s="37">
        <v>0</v>
      </c>
      <c r="AT135" s="37">
        <v>0</v>
      </c>
      <c r="AU135" s="37">
        <v>0</v>
      </c>
      <c r="AV135" s="43">
        <v>31165</v>
      </c>
      <c r="AW135" s="37">
        <v>0</v>
      </c>
      <c r="AX135" s="37">
        <v>0</v>
      </c>
      <c r="AY135" s="43">
        <v>316669</v>
      </c>
      <c r="AZ135" s="37">
        <v>0</v>
      </c>
      <c r="BA135" s="37">
        <v>0</v>
      </c>
      <c r="BB135" s="37">
        <v>0</v>
      </c>
      <c r="BC135" s="37">
        <v>0</v>
      </c>
      <c r="BD135" s="37">
        <v>0</v>
      </c>
      <c r="BE135" s="37">
        <v>0</v>
      </c>
      <c r="BF135" s="43">
        <v>12400</v>
      </c>
      <c r="BG135" s="43">
        <v>62197</v>
      </c>
      <c r="BH135" s="43">
        <v>25000</v>
      </c>
      <c r="BI135" s="37">
        <v>0</v>
      </c>
      <c r="BJ135" s="43">
        <v>36952</v>
      </c>
      <c r="BK135" s="43">
        <v>25708</v>
      </c>
      <c r="BL135" s="43">
        <v>21962</v>
      </c>
      <c r="BM135" s="37">
        <v>0</v>
      </c>
      <c r="BN135" s="43">
        <v>8255</v>
      </c>
      <c r="BO135" s="43">
        <v>22600</v>
      </c>
      <c r="BP135" s="43">
        <v>12524</v>
      </c>
      <c r="BQ135" s="37">
        <v>0</v>
      </c>
      <c r="BR135" s="37">
        <v>0</v>
      </c>
      <c r="BS135" s="43">
        <v>43191</v>
      </c>
      <c r="BT135" s="43">
        <v>11991</v>
      </c>
      <c r="BU135" s="37">
        <v>0</v>
      </c>
      <c r="BV135" s="43">
        <v>12211</v>
      </c>
      <c r="BW135" s="37">
        <v>0</v>
      </c>
      <c r="BX135" s="43">
        <f>19486-6999-12487</f>
        <v>0</v>
      </c>
      <c r="BY135" s="43">
        <f>24244-12122</f>
        <v>12122</v>
      </c>
      <c r="BZ135" s="37">
        <v>0</v>
      </c>
      <c r="CA135" s="44">
        <f t="shared" ref="CA135:CA198" si="18">SUM(C135:BZ135)</f>
        <v>1446179</v>
      </c>
    </row>
    <row r="136" spans="1:79" x14ac:dyDescent="0.25">
      <c r="A136" s="52" t="s">
        <v>341</v>
      </c>
      <c r="B136" s="52" t="s">
        <v>342</v>
      </c>
      <c r="C136" s="43">
        <v>31427</v>
      </c>
      <c r="D136" s="43">
        <v>175817</v>
      </c>
      <c r="E136" s="37">
        <v>0</v>
      </c>
      <c r="F136" s="37">
        <v>0</v>
      </c>
      <c r="G136" s="37">
        <v>0</v>
      </c>
      <c r="H136" s="43">
        <v>12091</v>
      </c>
      <c r="I136" s="43">
        <v>12205</v>
      </c>
      <c r="J136" s="43">
        <v>51263</v>
      </c>
      <c r="K136" s="43">
        <v>8151</v>
      </c>
      <c r="L136" s="43">
        <v>8619</v>
      </c>
      <c r="M136" s="37">
        <v>0</v>
      </c>
      <c r="N136" s="43">
        <f>89295-2897</f>
        <v>86398</v>
      </c>
      <c r="O136" s="37">
        <v>0</v>
      </c>
      <c r="P136" s="43">
        <v>7068</v>
      </c>
      <c r="Q136" s="43">
        <v>20765</v>
      </c>
      <c r="R136" s="37">
        <v>0</v>
      </c>
      <c r="S136" s="43">
        <v>22846</v>
      </c>
      <c r="T136" s="43">
        <v>29235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43">
        <v>112286</v>
      </c>
      <c r="AA136" s="43">
        <v>11646</v>
      </c>
      <c r="AB136" s="43">
        <v>13610</v>
      </c>
      <c r="AC136" s="43">
        <v>11552</v>
      </c>
      <c r="AD136" s="43">
        <v>69655</v>
      </c>
      <c r="AE136" s="37">
        <v>0</v>
      </c>
      <c r="AF136" s="37">
        <v>0</v>
      </c>
      <c r="AG136" s="43">
        <v>3039</v>
      </c>
      <c r="AH136" s="37">
        <v>0</v>
      </c>
      <c r="AI136" s="43">
        <v>406122</v>
      </c>
      <c r="AJ136" s="43">
        <v>38662</v>
      </c>
      <c r="AK136" s="37">
        <v>0</v>
      </c>
      <c r="AL136" s="37">
        <v>0</v>
      </c>
      <c r="AM136" s="44">
        <v>0</v>
      </c>
      <c r="AN136" s="43">
        <v>176423</v>
      </c>
      <c r="AO136" s="37">
        <v>0</v>
      </c>
      <c r="AP136" s="43">
        <v>45118</v>
      </c>
      <c r="AQ136" s="43">
        <v>58758</v>
      </c>
      <c r="AR136" s="43">
        <v>22310</v>
      </c>
      <c r="AS136" s="37">
        <v>0</v>
      </c>
      <c r="AT136" s="37">
        <v>0</v>
      </c>
      <c r="AU136" s="43">
        <v>110678</v>
      </c>
      <c r="AV136" s="43">
        <v>32959</v>
      </c>
      <c r="AW136" s="43">
        <v>8407</v>
      </c>
      <c r="AX136" s="43">
        <v>16250</v>
      </c>
      <c r="AY136" s="43">
        <v>123826</v>
      </c>
      <c r="AZ136" s="43">
        <v>9131</v>
      </c>
      <c r="BA136" s="43">
        <v>18989</v>
      </c>
      <c r="BB136" s="43">
        <v>16428</v>
      </c>
      <c r="BC136" s="43">
        <v>25092</v>
      </c>
      <c r="BD136" s="43">
        <v>41722</v>
      </c>
      <c r="BE136" s="43">
        <v>50486</v>
      </c>
      <c r="BF136" s="43">
        <v>138523</v>
      </c>
      <c r="BG136" s="43">
        <v>103863</v>
      </c>
      <c r="BH136" s="43">
        <v>104464</v>
      </c>
      <c r="BI136" s="43">
        <v>21226</v>
      </c>
      <c r="BJ136" s="43">
        <v>21213</v>
      </c>
      <c r="BK136" s="43">
        <v>45715</v>
      </c>
      <c r="BL136" s="43">
        <v>12118</v>
      </c>
      <c r="BM136" s="43">
        <v>11340</v>
      </c>
      <c r="BN136" s="43">
        <v>41640</v>
      </c>
      <c r="BO136" s="43">
        <v>89980</v>
      </c>
      <c r="BP136" s="43">
        <v>28283</v>
      </c>
      <c r="BQ136" s="43">
        <v>63416</v>
      </c>
      <c r="BR136" s="43">
        <v>16418</v>
      </c>
      <c r="BS136" s="43">
        <v>1016</v>
      </c>
      <c r="BT136" s="37">
        <v>0</v>
      </c>
      <c r="BU136" s="37">
        <v>0</v>
      </c>
      <c r="BV136" s="43">
        <v>70141</v>
      </c>
      <c r="BW136" s="43">
        <v>65271</v>
      </c>
      <c r="BX136" s="43">
        <f>106204-3579-1352-4492-1358-640-1396-781-1548-2613-2295-726-1111-7357-756</f>
        <v>76200</v>
      </c>
      <c r="BY136" s="43">
        <f>98954-2350-27492-2322</f>
        <v>66790</v>
      </c>
      <c r="BZ136" s="37">
        <v>0</v>
      </c>
      <c r="CA136" s="44">
        <f t="shared" si="18"/>
        <v>2866651</v>
      </c>
    </row>
    <row r="137" spans="1:79" x14ac:dyDescent="0.25">
      <c r="A137" s="52" t="s">
        <v>343</v>
      </c>
      <c r="B137" s="52" t="s">
        <v>344</v>
      </c>
      <c r="C137" s="43">
        <v>4834</v>
      </c>
      <c r="D137" s="43">
        <v>83935</v>
      </c>
      <c r="E137" s="43">
        <v>2104</v>
      </c>
      <c r="F137" s="43">
        <v>31565</v>
      </c>
      <c r="G137" s="37">
        <v>0</v>
      </c>
      <c r="H137" s="43">
        <v>3419</v>
      </c>
      <c r="I137" s="43">
        <v>4187</v>
      </c>
      <c r="J137" s="43">
        <v>24083</v>
      </c>
      <c r="K137" s="43">
        <v>1690</v>
      </c>
      <c r="L137" s="43">
        <v>3893</v>
      </c>
      <c r="M137" s="37">
        <v>0</v>
      </c>
      <c r="N137" s="43">
        <v>33556</v>
      </c>
      <c r="O137" s="43">
        <v>39728</v>
      </c>
      <c r="P137" s="43">
        <v>3630</v>
      </c>
      <c r="Q137" s="43">
        <f>214484-16303</f>
        <v>198181</v>
      </c>
      <c r="R137" s="43">
        <v>3675</v>
      </c>
      <c r="S137" s="43">
        <v>4293</v>
      </c>
      <c r="T137" s="43">
        <v>21146</v>
      </c>
      <c r="U137" s="37">
        <v>0</v>
      </c>
      <c r="V137" s="37">
        <v>0</v>
      </c>
      <c r="W137" s="43">
        <v>38042</v>
      </c>
      <c r="X137" s="43">
        <v>3578</v>
      </c>
      <c r="Y137" s="37">
        <v>0</v>
      </c>
      <c r="Z137" s="43">
        <v>30012</v>
      </c>
      <c r="AA137" s="43">
        <v>2206</v>
      </c>
      <c r="AB137" s="43">
        <v>6018</v>
      </c>
      <c r="AC137" s="37">
        <v>416</v>
      </c>
      <c r="AD137" s="43">
        <v>49129</v>
      </c>
      <c r="AE137" s="43">
        <v>1656</v>
      </c>
      <c r="AF137" s="43">
        <v>10955</v>
      </c>
      <c r="AG137" s="43">
        <v>4233</v>
      </c>
      <c r="AH137" s="43">
        <v>8551</v>
      </c>
      <c r="AI137" s="43">
        <v>64223</v>
      </c>
      <c r="AJ137" s="43">
        <v>23096</v>
      </c>
      <c r="AK137" s="43">
        <v>4144</v>
      </c>
      <c r="AL137" s="43">
        <v>3648</v>
      </c>
      <c r="AM137" s="44">
        <v>7913</v>
      </c>
      <c r="AN137" s="43">
        <v>138040</v>
      </c>
      <c r="AO137" s="37">
        <v>0</v>
      </c>
      <c r="AP137" s="43">
        <v>13191</v>
      </c>
      <c r="AQ137" s="43">
        <v>27853</v>
      </c>
      <c r="AR137" s="43">
        <v>7809</v>
      </c>
      <c r="AS137" s="37">
        <v>0</v>
      </c>
      <c r="AT137" s="43">
        <v>2008</v>
      </c>
      <c r="AU137" s="43">
        <v>61689</v>
      </c>
      <c r="AV137" s="43">
        <v>43757</v>
      </c>
      <c r="AW137" s="43">
        <v>5700</v>
      </c>
      <c r="AX137" s="43">
        <v>3196</v>
      </c>
      <c r="AY137" s="43">
        <v>23148</v>
      </c>
      <c r="AZ137" s="43">
        <v>5121</v>
      </c>
      <c r="BA137" s="43">
        <v>4094</v>
      </c>
      <c r="BB137" s="43">
        <v>8093</v>
      </c>
      <c r="BC137" s="43">
        <v>6544</v>
      </c>
      <c r="BD137" s="43">
        <v>16987</v>
      </c>
      <c r="BE137" s="43">
        <v>15381</v>
      </c>
      <c r="BF137" s="43">
        <v>62726</v>
      </c>
      <c r="BG137" s="43">
        <v>131436</v>
      </c>
      <c r="BH137" s="43">
        <v>248166</v>
      </c>
      <c r="BI137" s="43">
        <v>3174</v>
      </c>
      <c r="BJ137" s="43">
        <v>7525</v>
      </c>
      <c r="BK137" s="43">
        <v>47560</v>
      </c>
      <c r="BL137" s="43">
        <v>5288</v>
      </c>
      <c r="BM137" s="43">
        <v>7749</v>
      </c>
      <c r="BN137" s="43">
        <v>2610</v>
      </c>
      <c r="BO137" s="43">
        <v>25266</v>
      </c>
      <c r="BP137" s="43">
        <v>34819</v>
      </c>
      <c r="BQ137" s="43">
        <v>11468</v>
      </c>
      <c r="BR137" s="43">
        <v>5291</v>
      </c>
      <c r="BS137" s="37">
        <v>0</v>
      </c>
      <c r="BT137" s="43">
        <v>3618</v>
      </c>
      <c r="BU137" s="37">
        <v>0</v>
      </c>
      <c r="BV137" s="43">
        <v>34805</v>
      </c>
      <c r="BW137" s="43">
        <v>56860</v>
      </c>
      <c r="BX137" s="43">
        <f>199489-6217-14989-15462-15367-4925-2106-630-234-1412-4159-1016-2534-342-15430</f>
        <v>114666</v>
      </c>
      <c r="BY137" s="43">
        <f>130503-11231-1228-10212-7345-707-782-378-11903-1176-990-12252-5763-55</f>
        <v>66481</v>
      </c>
      <c r="BZ137" s="43">
        <f>8282-1475-1746</f>
        <v>5061</v>
      </c>
      <c r="CA137" s="44">
        <f t="shared" si="18"/>
        <v>1978919</v>
      </c>
    </row>
    <row r="138" spans="1:79" x14ac:dyDescent="0.25">
      <c r="A138" s="52" t="s">
        <v>345</v>
      </c>
      <c r="B138" s="52" t="s">
        <v>346</v>
      </c>
      <c r="C138" s="43">
        <v>9490</v>
      </c>
      <c r="D138" s="43">
        <v>145826</v>
      </c>
      <c r="E138" s="43">
        <v>10435</v>
      </c>
      <c r="F138" s="43">
        <v>252933</v>
      </c>
      <c r="G138" s="43">
        <v>119723</v>
      </c>
      <c r="H138" s="43">
        <v>48071</v>
      </c>
      <c r="I138" s="43">
        <v>77600</v>
      </c>
      <c r="J138" s="43">
        <v>210015</v>
      </c>
      <c r="K138" s="43">
        <v>68442</v>
      </c>
      <c r="L138" s="43">
        <v>83110</v>
      </c>
      <c r="M138" s="43">
        <v>65407</v>
      </c>
      <c r="N138" s="43">
        <v>428856</v>
      </c>
      <c r="O138" s="43">
        <v>248146</v>
      </c>
      <c r="P138" s="43">
        <v>43101</v>
      </c>
      <c r="Q138" s="43">
        <v>619498</v>
      </c>
      <c r="R138" s="43">
        <v>164188</v>
      </c>
      <c r="S138" s="43">
        <v>160860</v>
      </c>
      <c r="T138" s="43">
        <v>144518</v>
      </c>
      <c r="U138" s="37">
        <v>0</v>
      </c>
      <c r="V138" s="43">
        <v>151398</v>
      </c>
      <c r="W138" s="43">
        <v>221200</v>
      </c>
      <c r="X138" s="43">
        <v>56054</v>
      </c>
      <c r="Y138" s="43">
        <v>7501</v>
      </c>
      <c r="Z138" s="43">
        <v>501128</v>
      </c>
      <c r="AA138" s="43">
        <v>33815</v>
      </c>
      <c r="AB138" s="43">
        <v>28485</v>
      </c>
      <c r="AC138" s="43">
        <v>44220</v>
      </c>
      <c r="AD138" s="43">
        <v>372172</v>
      </c>
      <c r="AE138" s="43">
        <v>39298</v>
      </c>
      <c r="AF138" s="43">
        <v>66781</v>
      </c>
      <c r="AG138" s="43">
        <v>56129</v>
      </c>
      <c r="AH138" s="43">
        <v>24768</v>
      </c>
      <c r="AI138" s="43">
        <v>1903645</v>
      </c>
      <c r="AJ138" s="43">
        <v>143466</v>
      </c>
      <c r="AK138" s="37">
        <v>982</v>
      </c>
      <c r="AL138" s="43">
        <v>28070</v>
      </c>
      <c r="AM138" s="44">
        <v>0</v>
      </c>
      <c r="AN138" s="43">
        <f>1084924-2977</f>
        <v>1081947</v>
      </c>
      <c r="AO138" s="37">
        <v>0</v>
      </c>
      <c r="AP138" s="43">
        <v>170409</v>
      </c>
      <c r="AQ138" s="43">
        <f>318934-1376</f>
        <v>317558</v>
      </c>
      <c r="AR138" s="43">
        <v>158843</v>
      </c>
      <c r="AS138" s="43">
        <v>24221</v>
      </c>
      <c r="AT138" s="43">
        <v>1815</v>
      </c>
      <c r="AU138" s="43">
        <v>164682</v>
      </c>
      <c r="AV138" s="43">
        <v>42343</v>
      </c>
      <c r="AW138" s="43">
        <v>86905</v>
      </c>
      <c r="AX138" s="43">
        <v>59221</v>
      </c>
      <c r="AY138" s="43">
        <v>201339</v>
      </c>
      <c r="AZ138" s="43">
        <v>23763</v>
      </c>
      <c r="BA138" s="43">
        <v>133012</v>
      </c>
      <c r="BB138" s="43">
        <v>100287</v>
      </c>
      <c r="BC138" s="43">
        <v>45895</v>
      </c>
      <c r="BD138" s="43">
        <v>75824</v>
      </c>
      <c r="BE138" s="43">
        <v>268443</v>
      </c>
      <c r="BF138" s="43">
        <v>423570</v>
      </c>
      <c r="BG138" s="43">
        <f>588090-58</f>
        <v>588032</v>
      </c>
      <c r="BH138" s="43">
        <v>506969</v>
      </c>
      <c r="BI138" s="43">
        <v>20067</v>
      </c>
      <c r="BJ138" s="43">
        <v>84211</v>
      </c>
      <c r="BK138" s="43">
        <v>230394</v>
      </c>
      <c r="BL138" s="37">
        <v>169</v>
      </c>
      <c r="BM138" s="43">
        <v>108979</v>
      </c>
      <c r="BN138" s="43">
        <v>33392</v>
      </c>
      <c r="BO138" s="43">
        <v>258896</v>
      </c>
      <c r="BP138" s="43">
        <v>39779</v>
      </c>
      <c r="BQ138" s="43">
        <v>275037</v>
      </c>
      <c r="BR138" s="43">
        <v>130994</v>
      </c>
      <c r="BS138" s="43">
        <v>9253</v>
      </c>
      <c r="BT138" s="43">
        <v>93667</v>
      </c>
      <c r="BU138" s="43">
        <v>219869</v>
      </c>
      <c r="BV138" s="43">
        <v>424554</v>
      </c>
      <c r="BW138" s="43">
        <v>422035</v>
      </c>
      <c r="BX138" s="43">
        <f>576785-24942-875-1737-25177-35-4626-4795-4795-9469-7206-8297-1836-15635-2010-12913-33666-10765</f>
        <v>408006</v>
      </c>
      <c r="BY138" s="43">
        <f>807800-13617-12412-7523-11210-9502-21690-15839-13617-144582-2810-7765-5458</f>
        <v>541775</v>
      </c>
      <c r="BZ138" s="43">
        <v>25000</v>
      </c>
      <c r="CA138" s="44">
        <f t="shared" si="18"/>
        <v>14380486</v>
      </c>
    </row>
    <row r="139" spans="1:79" x14ac:dyDescent="0.25">
      <c r="A139" s="52" t="s">
        <v>347</v>
      </c>
      <c r="B139" s="52" t="s">
        <v>348</v>
      </c>
      <c r="C139" s="43">
        <v>35050</v>
      </c>
      <c r="D139" s="43">
        <v>67127</v>
      </c>
      <c r="E139" s="43">
        <v>7523</v>
      </c>
      <c r="F139" s="43">
        <v>10000</v>
      </c>
      <c r="G139" s="43">
        <v>20000</v>
      </c>
      <c r="H139" s="43">
        <v>13483</v>
      </c>
      <c r="I139" s="43">
        <v>4348</v>
      </c>
      <c r="J139" s="43">
        <v>39301</v>
      </c>
      <c r="K139" s="43">
        <v>21082</v>
      </c>
      <c r="L139" s="43">
        <v>11085</v>
      </c>
      <c r="M139" s="37">
        <v>911</v>
      </c>
      <c r="N139" s="43">
        <v>82594</v>
      </c>
      <c r="O139" s="43">
        <v>45180</v>
      </c>
      <c r="P139" s="43">
        <v>14417</v>
      </c>
      <c r="Q139" s="43">
        <v>80845</v>
      </c>
      <c r="R139" s="43">
        <v>53401</v>
      </c>
      <c r="S139" s="43">
        <v>14230</v>
      </c>
      <c r="T139" s="43">
        <v>79106</v>
      </c>
      <c r="U139" s="37">
        <v>0</v>
      </c>
      <c r="V139" s="43">
        <v>6050</v>
      </c>
      <c r="W139" s="43">
        <v>80464</v>
      </c>
      <c r="X139" s="43">
        <v>13858</v>
      </c>
      <c r="Y139" s="37">
        <v>0</v>
      </c>
      <c r="Z139" s="43">
        <v>68718</v>
      </c>
      <c r="AA139" s="43">
        <v>10000</v>
      </c>
      <c r="AB139" s="43">
        <v>26312</v>
      </c>
      <c r="AC139" s="43">
        <v>17922</v>
      </c>
      <c r="AD139" s="43">
        <v>120037</v>
      </c>
      <c r="AE139" s="43">
        <v>16506</v>
      </c>
      <c r="AF139" s="37">
        <v>0</v>
      </c>
      <c r="AG139" s="43">
        <v>10071</v>
      </c>
      <c r="AH139" s="43">
        <v>25696</v>
      </c>
      <c r="AI139" s="43">
        <v>166433</v>
      </c>
      <c r="AJ139" s="43">
        <v>11469</v>
      </c>
      <c r="AK139" s="43">
        <v>2108</v>
      </c>
      <c r="AL139" s="43">
        <v>11709</v>
      </c>
      <c r="AM139" s="44">
        <v>27000</v>
      </c>
      <c r="AN139" s="43">
        <v>88875</v>
      </c>
      <c r="AO139" s="37">
        <v>0</v>
      </c>
      <c r="AP139" s="43">
        <v>55625</v>
      </c>
      <c r="AQ139" s="43">
        <v>84080</v>
      </c>
      <c r="AR139" s="43">
        <v>24180</v>
      </c>
      <c r="AS139" s="43">
        <v>14289</v>
      </c>
      <c r="AT139" s="43">
        <v>19887</v>
      </c>
      <c r="AU139" s="43">
        <v>128167</v>
      </c>
      <c r="AV139" s="43">
        <v>14715</v>
      </c>
      <c r="AW139" s="43">
        <v>17560</v>
      </c>
      <c r="AX139" s="43">
        <v>24723</v>
      </c>
      <c r="AY139" s="43">
        <v>91454</v>
      </c>
      <c r="AZ139" s="43">
        <v>30000</v>
      </c>
      <c r="BA139" s="43">
        <v>21952</v>
      </c>
      <c r="BB139" s="43">
        <v>18564</v>
      </c>
      <c r="BC139" s="43">
        <v>45310</v>
      </c>
      <c r="BD139" s="43">
        <v>21728</v>
      </c>
      <c r="BE139" s="43">
        <v>60220</v>
      </c>
      <c r="BF139" s="43">
        <v>76920</v>
      </c>
      <c r="BG139" s="43">
        <v>83223</v>
      </c>
      <c r="BH139" s="43">
        <v>95653</v>
      </c>
      <c r="BI139" s="43">
        <v>18070</v>
      </c>
      <c r="BJ139" s="43">
        <v>10000</v>
      </c>
      <c r="BK139" s="43">
        <v>10214</v>
      </c>
      <c r="BL139" s="37">
        <v>0</v>
      </c>
      <c r="BM139" s="43">
        <v>10000</v>
      </c>
      <c r="BN139" s="43">
        <v>8727</v>
      </c>
      <c r="BO139" s="43">
        <v>10241</v>
      </c>
      <c r="BP139" s="43">
        <v>5567</v>
      </c>
      <c r="BQ139" s="43">
        <v>32563</v>
      </c>
      <c r="BR139" s="43">
        <v>31175</v>
      </c>
      <c r="BS139" s="43">
        <v>10568</v>
      </c>
      <c r="BT139" s="43">
        <v>24391</v>
      </c>
      <c r="BU139" s="43">
        <v>49824</v>
      </c>
      <c r="BV139" s="43">
        <v>142334</v>
      </c>
      <c r="BW139" s="43">
        <v>35770</v>
      </c>
      <c r="BX139" s="43">
        <f>23858-11929</f>
        <v>11929</v>
      </c>
      <c r="BY139" s="43">
        <f>88020-3115-1385-1179-1316-12910</f>
        <v>68115</v>
      </c>
      <c r="BZ139" s="43">
        <v>10000</v>
      </c>
      <c r="CA139" s="44">
        <f t="shared" si="18"/>
        <v>2720649</v>
      </c>
    </row>
    <row r="140" spans="1:79" x14ac:dyDescent="0.25">
      <c r="A140" s="52" t="s">
        <v>349</v>
      </c>
      <c r="B140" s="52" t="s">
        <v>350</v>
      </c>
      <c r="C140" s="43">
        <v>86994</v>
      </c>
      <c r="D140" s="43">
        <v>470943</v>
      </c>
      <c r="E140" s="43">
        <v>30442</v>
      </c>
      <c r="F140" s="43">
        <v>195052</v>
      </c>
      <c r="G140" s="43">
        <v>74794</v>
      </c>
      <c r="H140" s="43">
        <v>21493</v>
      </c>
      <c r="I140" s="43">
        <v>96689</v>
      </c>
      <c r="J140" s="43">
        <v>236635</v>
      </c>
      <c r="K140" s="43">
        <v>46871</v>
      </c>
      <c r="L140" s="43">
        <v>64338</v>
      </c>
      <c r="M140" s="43">
        <v>62254</v>
      </c>
      <c r="N140" s="43">
        <v>465511</v>
      </c>
      <c r="O140" s="43">
        <v>1068466</v>
      </c>
      <c r="P140" s="43">
        <v>24830</v>
      </c>
      <c r="Q140" s="43">
        <f>931971-28830-39420</f>
        <v>863721</v>
      </c>
      <c r="R140" s="43">
        <v>202456</v>
      </c>
      <c r="S140" s="43">
        <v>83125</v>
      </c>
      <c r="T140" s="43">
        <v>267703</v>
      </c>
      <c r="U140" s="37">
        <v>0</v>
      </c>
      <c r="V140" s="43">
        <v>131347</v>
      </c>
      <c r="W140" s="43">
        <v>290522</v>
      </c>
      <c r="X140" s="43">
        <v>50130</v>
      </c>
      <c r="Y140" s="43">
        <v>57321</v>
      </c>
      <c r="Z140" s="43">
        <v>615821</v>
      </c>
      <c r="AA140" s="43">
        <v>94827</v>
      </c>
      <c r="AB140" s="43">
        <v>66068</v>
      </c>
      <c r="AC140" s="43">
        <v>88627</v>
      </c>
      <c r="AD140" s="43">
        <v>452386</v>
      </c>
      <c r="AE140" s="43">
        <v>36191</v>
      </c>
      <c r="AF140" s="43">
        <v>9115</v>
      </c>
      <c r="AG140" s="43">
        <v>65301</v>
      </c>
      <c r="AH140" s="43">
        <v>194884</v>
      </c>
      <c r="AI140" s="43">
        <v>1642522</v>
      </c>
      <c r="AJ140" s="43">
        <v>147787</v>
      </c>
      <c r="AK140" s="43">
        <v>57994</v>
      </c>
      <c r="AL140" s="43">
        <v>93893</v>
      </c>
      <c r="AM140" s="44">
        <v>64231</v>
      </c>
      <c r="AN140" s="43">
        <f>1152475-4000</f>
        <v>1148475</v>
      </c>
      <c r="AO140" s="37">
        <v>0</v>
      </c>
      <c r="AP140" s="43">
        <v>518699</v>
      </c>
      <c r="AQ140" s="43">
        <v>327986</v>
      </c>
      <c r="AR140" s="43">
        <v>153131</v>
      </c>
      <c r="AS140" s="43">
        <v>51197</v>
      </c>
      <c r="AT140" s="43">
        <v>60931</v>
      </c>
      <c r="AU140" s="43">
        <v>927192</v>
      </c>
      <c r="AV140" s="43">
        <v>111958</v>
      </c>
      <c r="AW140" s="43">
        <v>46094</v>
      </c>
      <c r="AX140" s="43">
        <v>110819</v>
      </c>
      <c r="AY140" s="43">
        <v>774160</v>
      </c>
      <c r="AZ140" s="43">
        <v>122346</v>
      </c>
      <c r="BA140" s="43">
        <v>159449</v>
      </c>
      <c r="BB140" s="43">
        <v>67572</v>
      </c>
      <c r="BC140" s="43">
        <v>125151</v>
      </c>
      <c r="BD140" s="43">
        <v>298604</v>
      </c>
      <c r="BE140" s="43">
        <v>249320</v>
      </c>
      <c r="BF140" s="43">
        <v>354829</v>
      </c>
      <c r="BG140" s="43">
        <v>595315</v>
      </c>
      <c r="BH140" s="43">
        <v>574280</v>
      </c>
      <c r="BI140" s="43">
        <v>47607</v>
      </c>
      <c r="BJ140" s="43">
        <v>82431</v>
      </c>
      <c r="BK140" s="43">
        <v>154609</v>
      </c>
      <c r="BL140" s="43">
        <v>65349</v>
      </c>
      <c r="BM140" s="43">
        <v>50760</v>
      </c>
      <c r="BN140" s="43">
        <v>143546</v>
      </c>
      <c r="BO140" s="43">
        <v>125846</v>
      </c>
      <c r="BP140" s="43">
        <v>97938</v>
      </c>
      <c r="BQ140" s="43">
        <v>541164</v>
      </c>
      <c r="BR140" s="43">
        <v>165900</v>
      </c>
      <c r="BS140" s="43">
        <v>98299</v>
      </c>
      <c r="BT140" s="43">
        <v>182727</v>
      </c>
      <c r="BU140" s="43">
        <v>274314</v>
      </c>
      <c r="BV140" s="43">
        <v>445516</v>
      </c>
      <c r="BW140" s="43">
        <v>521741</v>
      </c>
      <c r="BX140" s="43">
        <f>675238-55997-75973-46861-16170-41396-18391-55871-38110-19719</f>
        <v>306750</v>
      </c>
      <c r="BY140" s="43">
        <f>1212189-13912-49930-161201-38033-37013-208660-100002</f>
        <v>603438</v>
      </c>
      <c r="BZ140" s="43">
        <f>50000-8854</f>
        <v>41146</v>
      </c>
      <c r="CA140" s="44">
        <f t="shared" si="18"/>
        <v>19247873</v>
      </c>
    </row>
    <row r="141" spans="1:79" x14ac:dyDescent="0.25">
      <c r="A141" s="52" t="s">
        <v>351</v>
      </c>
      <c r="B141" s="52" t="s">
        <v>352</v>
      </c>
      <c r="C141" s="43">
        <v>223482</v>
      </c>
      <c r="D141" s="43">
        <v>360529</v>
      </c>
      <c r="E141" s="37">
        <v>0</v>
      </c>
      <c r="F141" s="43">
        <v>373724</v>
      </c>
      <c r="G141" s="43">
        <v>88736</v>
      </c>
      <c r="H141" s="43">
        <v>112818</v>
      </c>
      <c r="I141" s="43">
        <v>184044</v>
      </c>
      <c r="J141" s="43">
        <v>276066</v>
      </c>
      <c r="K141" s="43">
        <v>55871</v>
      </c>
      <c r="L141" s="43">
        <v>6573</v>
      </c>
      <c r="M141" s="43">
        <v>19719</v>
      </c>
      <c r="N141" s="43">
        <f>858598-40000</f>
        <v>818598</v>
      </c>
      <c r="O141" s="43">
        <v>1057502</v>
      </c>
      <c r="P141" s="43">
        <v>52454</v>
      </c>
      <c r="Q141" s="43">
        <f>2026924-9860-26292-85449-69017</f>
        <v>1836306</v>
      </c>
      <c r="R141" s="43">
        <v>243201</v>
      </c>
      <c r="S141" s="43">
        <f>221757-45328</f>
        <v>176429</v>
      </c>
      <c r="T141" s="43">
        <v>213623</v>
      </c>
      <c r="U141" s="37">
        <v>0</v>
      </c>
      <c r="V141" s="43">
        <v>45826</v>
      </c>
      <c r="W141" s="43">
        <v>227039</v>
      </c>
      <c r="X141" s="43">
        <v>29579</v>
      </c>
      <c r="Y141" s="43">
        <v>29539</v>
      </c>
      <c r="Z141" s="43">
        <v>795797</v>
      </c>
      <c r="AA141" s="43">
        <v>78876</v>
      </c>
      <c r="AB141" s="43">
        <v>46011</v>
      </c>
      <c r="AC141" s="43">
        <v>80437</v>
      </c>
      <c r="AD141" s="43">
        <v>424316</v>
      </c>
      <c r="AE141" s="43">
        <v>49298</v>
      </c>
      <c r="AF141" s="43">
        <v>88938</v>
      </c>
      <c r="AG141" s="43">
        <v>77256</v>
      </c>
      <c r="AH141" s="43">
        <v>449716</v>
      </c>
      <c r="AI141" s="43">
        <v>2809201</v>
      </c>
      <c r="AJ141" s="43">
        <v>385141</v>
      </c>
      <c r="AK141" s="37">
        <v>0</v>
      </c>
      <c r="AL141" s="43">
        <v>39438</v>
      </c>
      <c r="AM141" s="44">
        <v>70660</v>
      </c>
      <c r="AN141" s="43">
        <v>1859503</v>
      </c>
      <c r="AO141" s="37">
        <v>0</v>
      </c>
      <c r="AP141" s="43">
        <v>631008</v>
      </c>
      <c r="AQ141" s="43">
        <v>690165</v>
      </c>
      <c r="AR141" s="43">
        <v>136460</v>
      </c>
      <c r="AS141" s="43">
        <v>98258</v>
      </c>
      <c r="AT141" s="43">
        <v>6550</v>
      </c>
      <c r="AU141" s="43">
        <v>2188920</v>
      </c>
      <c r="AV141" s="43">
        <v>315504</v>
      </c>
      <c r="AW141" s="43">
        <v>46011</v>
      </c>
      <c r="AX141" s="43">
        <v>141147</v>
      </c>
      <c r="AY141" s="43">
        <v>2204517</v>
      </c>
      <c r="AZ141" s="43">
        <v>26292</v>
      </c>
      <c r="BA141" s="37">
        <v>0</v>
      </c>
      <c r="BB141" s="43">
        <v>121601</v>
      </c>
      <c r="BC141" s="43">
        <v>341796</v>
      </c>
      <c r="BD141" s="43">
        <v>472304</v>
      </c>
      <c r="BE141" s="43">
        <v>184044</v>
      </c>
      <c r="BF141" s="43">
        <v>625761</v>
      </c>
      <c r="BG141" s="43">
        <v>1560343</v>
      </c>
      <c r="BH141" s="43">
        <v>2354777</v>
      </c>
      <c r="BI141" s="43">
        <v>39438</v>
      </c>
      <c r="BJ141" s="43">
        <v>210336</v>
      </c>
      <c r="BK141" s="43">
        <v>463397</v>
      </c>
      <c r="BL141" s="43">
        <v>153808</v>
      </c>
      <c r="BM141" s="43">
        <v>159362</v>
      </c>
      <c r="BN141" s="43">
        <v>617862</v>
      </c>
      <c r="BO141" s="43">
        <v>384521</v>
      </c>
      <c r="BP141" s="43">
        <v>318791</v>
      </c>
      <c r="BQ141" s="43">
        <v>357701</v>
      </c>
      <c r="BR141" s="43">
        <v>77495</v>
      </c>
      <c r="BS141" s="43">
        <v>1401</v>
      </c>
      <c r="BT141" s="43">
        <v>287766</v>
      </c>
      <c r="BU141" s="43">
        <v>634295</v>
      </c>
      <c r="BV141" s="43">
        <v>724863</v>
      </c>
      <c r="BW141" s="43">
        <v>1113604</v>
      </c>
      <c r="BX141" s="43">
        <f>324786-8299-6573-19719-16433-6573-9860-19246-6573-6573-6573-17160</f>
        <v>201204</v>
      </c>
      <c r="BY141" s="43">
        <f>728486-6573-19719-32024-19719-92022-170898-9860-6573-6573</f>
        <v>364525</v>
      </c>
      <c r="BZ141" s="43">
        <f>63872-8299-5724</f>
        <v>49849</v>
      </c>
      <c r="CA141" s="44">
        <f t="shared" si="18"/>
        <v>31991922</v>
      </c>
    </row>
    <row r="142" spans="1:79" x14ac:dyDescent="0.25">
      <c r="A142" s="52" t="s">
        <v>353</v>
      </c>
      <c r="B142" s="52" t="s">
        <v>354</v>
      </c>
      <c r="C142" s="43">
        <v>1077</v>
      </c>
      <c r="D142" s="43">
        <v>1077</v>
      </c>
      <c r="E142" s="43">
        <v>1077</v>
      </c>
      <c r="F142" s="43">
        <v>1077</v>
      </c>
      <c r="G142" s="43">
        <v>1077</v>
      </c>
      <c r="H142" s="37">
        <v>0</v>
      </c>
      <c r="I142" s="43">
        <v>1077</v>
      </c>
      <c r="J142" s="43">
        <v>1077</v>
      </c>
      <c r="K142" s="43">
        <v>2153</v>
      </c>
      <c r="L142" s="43">
        <v>1077</v>
      </c>
      <c r="M142" s="43">
        <v>1077</v>
      </c>
      <c r="N142" s="43">
        <v>1077</v>
      </c>
      <c r="O142" s="43">
        <v>1077</v>
      </c>
      <c r="P142" s="43">
        <v>1077</v>
      </c>
      <c r="Q142" s="43">
        <v>1077</v>
      </c>
      <c r="R142" s="43">
        <v>1077</v>
      </c>
      <c r="S142" s="43">
        <v>1077</v>
      </c>
      <c r="T142" s="43">
        <v>1077</v>
      </c>
      <c r="U142" s="37">
        <v>0</v>
      </c>
      <c r="V142" s="43">
        <v>1077</v>
      </c>
      <c r="W142" s="43">
        <v>1077</v>
      </c>
      <c r="X142" s="43">
        <v>1076</v>
      </c>
      <c r="Y142" s="43">
        <v>1077</v>
      </c>
      <c r="Z142" s="43">
        <v>1077</v>
      </c>
      <c r="AA142" s="43">
        <v>1077</v>
      </c>
      <c r="AB142" s="43">
        <v>1077</v>
      </c>
      <c r="AC142" s="43">
        <v>1077</v>
      </c>
      <c r="AD142" s="43">
        <v>1077</v>
      </c>
      <c r="AE142" s="43">
        <v>1077</v>
      </c>
      <c r="AF142" s="43">
        <v>52584</v>
      </c>
      <c r="AG142" s="43">
        <v>1077</v>
      </c>
      <c r="AH142" s="43">
        <v>1077</v>
      </c>
      <c r="AI142" s="43">
        <v>1077</v>
      </c>
      <c r="AJ142" s="43">
        <v>1077</v>
      </c>
      <c r="AK142" s="43">
        <v>1077</v>
      </c>
      <c r="AL142" s="43">
        <v>1077</v>
      </c>
      <c r="AM142" s="44">
        <v>1077</v>
      </c>
      <c r="AN142" s="43">
        <v>26913</v>
      </c>
      <c r="AO142" s="37">
        <v>0</v>
      </c>
      <c r="AP142" s="37">
        <v>0</v>
      </c>
      <c r="AQ142" s="37">
        <v>0</v>
      </c>
      <c r="AR142" s="43">
        <v>1077</v>
      </c>
      <c r="AS142" s="43">
        <v>1076</v>
      </c>
      <c r="AT142" s="43">
        <v>1077</v>
      </c>
      <c r="AU142" s="43">
        <v>1077</v>
      </c>
      <c r="AV142" s="43">
        <v>10765</v>
      </c>
      <c r="AW142" s="43">
        <v>1077</v>
      </c>
      <c r="AX142" s="43">
        <v>1076</v>
      </c>
      <c r="AY142" s="43">
        <v>1077</v>
      </c>
      <c r="AZ142" s="43">
        <v>1077</v>
      </c>
      <c r="BA142" s="43">
        <v>1077</v>
      </c>
      <c r="BB142" s="43">
        <v>1077</v>
      </c>
      <c r="BC142" s="43">
        <v>1077</v>
      </c>
      <c r="BD142" s="43">
        <v>1077</v>
      </c>
      <c r="BE142" s="43">
        <v>1077</v>
      </c>
      <c r="BF142" s="43">
        <v>1077</v>
      </c>
      <c r="BG142" s="43">
        <v>1077</v>
      </c>
      <c r="BH142" s="43">
        <v>1077</v>
      </c>
      <c r="BI142" s="43">
        <v>1077</v>
      </c>
      <c r="BJ142" s="43">
        <v>1077</v>
      </c>
      <c r="BK142" s="43">
        <v>1077</v>
      </c>
      <c r="BL142" s="43">
        <v>1077</v>
      </c>
      <c r="BM142" s="43">
        <v>1077</v>
      </c>
      <c r="BN142" s="43">
        <v>1077</v>
      </c>
      <c r="BO142" s="43">
        <v>1077</v>
      </c>
      <c r="BP142" s="43">
        <v>1077</v>
      </c>
      <c r="BQ142" s="43">
        <v>1077</v>
      </c>
      <c r="BR142" s="43">
        <v>1077</v>
      </c>
      <c r="BS142" s="43">
        <v>1076</v>
      </c>
      <c r="BT142" s="43">
        <v>1077</v>
      </c>
      <c r="BU142" s="43">
        <v>10765</v>
      </c>
      <c r="BV142" s="43">
        <v>1077</v>
      </c>
      <c r="BW142" s="43">
        <v>10765</v>
      </c>
      <c r="BX142" s="43">
        <f>3077-2000</f>
        <v>1077</v>
      </c>
      <c r="BY142" s="43">
        <v>1077</v>
      </c>
      <c r="BZ142" s="37">
        <v>0</v>
      </c>
      <c r="CA142" s="44">
        <f t="shared" si="18"/>
        <v>182869</v>
      </c>
    </row>
    <row r="143" spans="1:79" x14ac:dyDescent="0.25">
      <c r="A143" s="52" t="s">
        <v>355</v>
      </c>
      <c r="B143" s="52" t="s">
        <v>220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43">
        <v>111751</v>
      </c>
      <c r="P143" s="37">
        <v>0</v>
      </c>
      <c r="Q143" s="43">
        <f>3306782-76194-59558-59558-59558</f>
        <v>3051914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43">
        <v>1077</v>
      </c>
      <c r="AG143" s="37">
        <v>0</v>
      </c>
      <c r="AH143" s="37">
        <v>0</v>
      </c>
      <c r="AI143" s="43">
        <v>2405975</v>
      </c>
      <c r="AJ143" s="37">
        <v>0</v>
      </c>
      <c r="AK143" s="37">
        <v>0</v>
      </c>
      <c r="AL143" s="37">
        <v>0</v>
      </c>
      <c r="AM143" s="44">
        <v>0</v>
      </c>
      <c r="AN143" s="43">
        <f>1091517-53734-59260</f>
        <v>978523</v>
      </c>
      <c r="AO143" s="37">
        <v>0</v>
      </c>
      <c r="AP143" s="37">
        <v>0</v>
      </c>
      <c r="AQ143" s="37">
        <v>0</v>
      </c>
      <c r="AR143" s="37">
        <v>0</v>
      </c>
      <c r="AS143" s="37">
        <v>0</v>
      </c>
      <c r="AT143" s="37">
        <v>0</v>
      </c>
      <c r="AU143" s="37">
        <v>0</v>
      </c>
      <c r="AV143" s="37">
        <v>0</v>
      </c>
      <c r="AW143" s="37">
        <v>0</v>
      </c>
      <c r="AX143" s="37">
        <v>0</v>
      </c>
      <c r="AY143" s="37">
        <v>0</v>
      </c>
      <c r="AZ143" s="37">
        <v>0</v>
      </c>
      <c r="BA143" s="37">
        <v>0</v>
      </c>
      <c r="BB143" s="37">
        <v>0</v>
      </c>
      <c r="BC143" s="37">
        <v>0</v>
      </c>
      <c r="BD143" s="37">
        <v>0</v>
      </c>
      <c r="BE143" s="37">
        <v>0</v>
      </c>
      <c r="BF143" s="37">
        <v>0</v>
      </c>
      <c r="BG143" s="43">
        <f>1719872-53759</f>
        <v>1666113</v>
      </c>
      <c r="BH143" s="43">
        <v>1362991</v>
      </c>
      <c r="BI143" s="37">
        <v>0</v>
      </c>
      <c r="BJ143" s="37">
        <v>0</v>
      </c>
      <c r="BK143" s="37">
        <v>0</v>
      </c>
      <c r="BL143" s="37">
        <v>0</v>
      </c>
      <c r="BM143" s="37">
        <v>0</v>
      </c>
      <c r="BN143" s="37">
        <v>0</v>
      </c>
      <c r="BO143" s="37">
        <v>0</v>
      </c>
      <c r="BP143" s="37">
        <v>0</v>
      </c>
      <c r="BQ143" s="37">
        <v>0</v>
      </c>
      <c r="BR143" s="37">
        <v>0</v>
      </c>
      <c r="BS143" s="37">
        <v>0</v>
      </c>
      <c r="BT143" s="37">
        <v>0</v>
      </c>
      <c r="BU143" s="37">
        <v>0</v>
      </c>
      <c r="BV143" s="37">
        <v>0</v>
      </c>
      <c r="BW143" s="37">
        <v>0</v>
      </c>
      <c r="BX143" s="43">
        <f>706829-16260-16260-16259-16261-6860-16260-16260-16109-14943-16260-16260-8130-16260-16260-7906-16260-16260-16260-15011-16260-16260-16263</f>
        <v>377707</v>
      </c>
      <c r="BY143" s="43">
        <f>280829-5427-5427-5427-21195-3625-4854-56354-5427-4780-5427-3892-5427-5427-58933-5427</f>
        <v>83780</v>
      </c>
      <c r="BZ143" s="37">
        <v>0</v>
      </c>
      <c r="CA143" s="44">
        <f t="shared" si="18"/>
        <v>10039831</v>
      </c>
    </row>
    <row r="144" spans="1:79" x14ac:dyDescent="0.25">
      <c r="A144" s="52" t="s">
        <v>1354</v>
      </c>
      <c r="B144" s="52" t="s">
        <v>1355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43">
        <v>16279</v>
      </c>
      <c r="I144" s="37">
        <v>0</v>
      </c>
      <c r="J144" s="43">
        <v>91665</v>
      </c>
      <c r="K144" s="43">
        <v>9753</v>
      </c>
      <c r="L144" s="37">
        <v>0</v>
      </c>
      <c r="M144" s="37">
        <v>0</v>
      </c>
      <c r="N144" s="43">
        <f>19178-564</f>
        <v>18614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43">
        <v>36666</v>
      </c>
      <c r="Z144" s="43">
        <v>109998</v>
      </c>
      <c r="AA144" s="43">
        <v>29258</v>
      </c>
      <c r="AB144" s="37">
        <v>0</v>
      </c>
      <c r="AC144" s="37">
        <v>0</v>
      </c>
      <c r="AD144" s="37">
        <v>0</v>
      </c>
      <c r="AE144" s="37">
        <v>0</v>
      </c>
      <c r="AF144" s="37">
        <v>0</v>
      </c>
      <c r="AG144" s="37">
        <v>0</v>
      </c>
      <c r="AH144" s="37">
        <v>0</v>
      </c>
      <c r="AI144" s="43">
        <v>710436</v>
      </c>
      <c r="AJ144" s="43">
        <v>31334</v>
      </c>
      <c r="AK144" s="37">
        <v>0</v>
      </c>
      <c r="AL144" s="37">
        <v>0</v>
      </c>
      <c r="AM144" s="44">
        <v>0</v>
      </c>
      <c r="AN144" s="37">
        <v>0</v>
      </c>
      <c r="AO144" s="37">
        <v>0</v>
      </c>
      <c r="AP144" s="43">
        <v>77915</v>
      </c>
      <c r="AQ144" s="37">
        <v>0</v>
      </c>
      <c r="AR144" s="37">
        <v>0</v>
      </c>
      <c r="AS144" s="37">
        <v>0</v>
      </c>
      <c r="AT144" s="37">
        <v>0</v>
      </c>
      <c r="AU144" s="43">
        <v>142081</v>
      </c>
      <c r="AV144" s="37">
        <v>0</v>
      </c>
      <c r="AW144" s="37">
        <v>0</v>
      </c>
      <c r="AX144" s="43">
        <v>32083</v>
      </c>
      <c r="AY144" s="43">
        <v>100832</v>
      </c>
      <c r="AZ144" s="37">
        <v>0</v>
      </c>
      <c r="BA144" s="43">
        <v>45833</v>
      </c>
      <c r="BB144" s="43">
        <v>32083</v>
      </c>
      <c r="BC144" s="43">
        <v>48605</v>
      </c>
      <c r="BD144" s="43">
        <v>78020</v>
      </c>
      <c r="BE144" s="43">
        <v>119165</v>
      </c>
      <c r="BF144" s="37">
        <v>0</v>
      </c>
      <c r="BG144" s="43">
        <v>204803</v>
      </c>
      <c r="BH144" s="43">
        <v>3334</v>
      </c>
      <c r="BI144" s="43">
        <v>107713</v>
      </c>
      <c r="BJ144" s="43">
        <v>225493</v>
      </c>
      <c r="BK144" s="43">
        <v>315691</v>
      </c>
      <c r="BL144" s="43">
        <v>112747</v>
      </c>
      <c r="BM144" s="43">
        <v>90197</v>
      </c>
      <c r="BN144" s="43">
        <v>270592</v>
      </c>
      <c r="BO144" s="43">
        <v>315691</v>
      </c>
      <c r="BP144" s="43">
        <v>202944</v>
      </c>
      <c r="BQ144" s="43">
        <v>248043</v>
      </c>
      <c r="BR144" s="43">
        <v>157845</v>
      </c>
      <c r="BS144" s="43">
        <v>180395</v>
      </c>
      <c r="BT144" s="43">
        <v>180395</v>
      </c>
      <c r="BU144" s="43">
        <v>225493</v>
      </c>
      <c r="BV144" s="43">
        <v>541184</v>
      </c>
      <c r="BW144" s="43">
        <v>140259</v>
      </c>
      <c r="BX144" s="43">
        <f>1487425-24454-22549-22549-22549-22549-22549-22549-22550-22549-22549-22549-22549-22549-22549-22549-22549-11275-22549-22549-22549-11275-28253-2118-22549-22549-22549-22549-22549-22549-22549-28663-22249-22549</f>
        <v>772863</v>
      </c>
      <c r="BY144" s="43">
        <f>644927-22549-22549-35587-22549-22549-22549-22549-25549-22549-22549-16610-22549-26000-22550</f>
        <v>315690</v>
      </c>
      <c r="BZ144" s="43">
        <f>87572-22549-19924</f>
        <v>45099</v>
      </c>
      <c r="CA144" s="44">
        <f t="shared" si="18"/>
        <v>6387091</v>
      </c>
    </row>
    <row r="145" spans="1:79" x14ac:dyDescent="0.25">
      <c r="A145" s="52" t="s">
        <v>356</v>
      </c>
      <c r="B145" s="52" t="s">
        <v>357</v>
      </c>
      <c r="C145" s="37">
        <v>0</v>
      </c>
      <c r="D145" s="43">
        <v>2218639</v>
      </c>
      <c r="E145" s="43">
        <v>31571</v>
      </c>
      <c r="F145" s="43">
        <v>796114</v>
      </c>
      <c r="G145" s="43">
        <v>372292</v>
      </c>
      <c r="H145" s="43">
        <v>29357</v>
      </c>
      <c r="I145" s="43">
        <v>260325</v>
      </c>
      <c r="J145" s="43">
        <v>1371954</v>
      </c>
      <c r="K145" s="37">
        <v>0</v>
      </c>
      <c r="L145" s="37">
        <v>0</v>
      </c>
      <c r="M145" s="43">
        <v>72484</v>
      </c>
      <c r="N145" s="43">
        <v>1193195</v>
      </c>
      <c r="O145" s="43">
        <v>3598192</v>
      </c>
      <c r="P145" s="37">
        <v>0</v>
      </c>
      <c r="Q145" s="43">
        <f>543612-21863-9614</f>
        <v>512135</v>
      </c>
      <c r="R145" s="43">
        <v>277640</v>
      </c>
      <c r="S145" s="43">
        <v>54880</v>
      </c>
      <c r="T145" s="43">
        <v>109972</v>
      </c>
      <c r="U145" s="37">
        <v>0</v>
      </c>
      <c r="V145" s="37">
        <v>0</v>
      </c>
      <c r="W145" s="43">
        <v>283610</v>
      </c>
      <c r="X145" s="37">
        <v>0</v>
      </c>
      <c r="Y145" s="43">
        <v>289720</v>
      </c>
      <c r="Z145" s="43">
        <v>1476763</v>
      </c>
      <c r="AA145" s="43">
        <v>232063</v>
      </c>
      <c r="AB145" s="43">
        <v>45057</v>
      </c>
      <c r="AC145" s="43">
        <v>121599</v>
      </c>
      <c r="AD145" s="43">
        <v>2810</v>
      </c>
      <c r="AE145" s="37">
        <v>0</v>
      </c>
      <c r="AF145" s="43">
        <v>85977</v>
      </c>
      <c r="AG145" s="43">
        <v>91342</v>
      </c>
      <c r="AH145" s="43">
        <v>535322</v>
      </c>
      <c r="AI145" s="37">
        <v>0</v>
      </c>
      <c r="AJ145" s="43">
        <v>47545</v>
      </c>
      <c r="AK145" s="43">
        <v>106354</v>
      </c>
      <c r="AL145" s="37">
        <v>0</v>
      </c>
      <c r="AM145" s="44">
        <v>187637</v>
      </c>
      <c r="AN145" s="43">
        <v>2505894</v>
      </c>
      <c r="AO145" s="37">
        <v>0</v>
      </c>
      <c r="AP145" s="43">
        <v>66605</v>
      </c>
      <c r="AQ145" s="43">
        <v>1177119</v>
      </c>
      <c r="AR145" s="37">
        <v>0</v>
      </c>
      <c r="AS145" s="37">
        <v>0</v>
      </c>
      <c r="AT145" s="43">
        <v>238205</v>
      </c>
      <c r="AU145" s="43">
        <v>1712011</v>
      </c>
      <c r="AV145" s="43">
        <v>606800</v>
      </c>
      <c r="AW145" s="43">
        <v>231544</v>
      </c>
      <c r="AX145" s="43">
        <v>291842</v>
      </c>
      <c r="AY145" s="43">
        <v>1055975</v>
      </c>
      <c r="AZ145" s="37">
        <v>0</v>
      </c>
      <c r="BA145" s="43">
        <v>195555</v>
      </c>
      <c r="BB145" s="43">
        <v>200574</v>
      </c>
      <c r="BC145" s="43">
        <v>168941</v>
      </c>
      <c r="BD145" s="37">
        <v>0</v>
      </c>
      <c r="BE145" s="37">
        <v>0</v>
      </c>
      <c r="BF145" s="43">
        <v>1760692</v>
      </c>
      <c r="BG145" s="37">
        <v>0</v>
      </c>
      <c r="BH145" s="43">
        <v>959815</v>
      </c>
      <c r="BI145" s="43">
        <v>4600</v>
      </c>
      <c r="BJ145" s="37">
        <v>0</v>
      </c>
      <c r="BK145" s="43">
        <v>312252</v>
      </c>
      <c r="BL145" s="43">
        <v>160855</v>
      </c>
      <c r="BM145" s="37">
        <v>0</v>
      </c>
      <c r="BN145" s="43">
        <v>837698</v>
      </c>
      <c r="BO145" s="43">
        <v>621833</v>
      </c>
      <c r="BP145" s="43">
        <v>204825</v>
      </c>
      <c r="BQ145" s="43">
        <v>204222</v>
      </c>
      <c r="BR145" s="43">
        <v>64918</v>
      </c>
      <c r="BS145" s="43">
        <v>24488</v>
      </c>
      <c r="BT145" s="37">
        <v>0</v>
      </c>
      <c r="BU145" s="37">
        <v>0</v>
      </c>
      <c r="BV145" s="43">
        <v>1358310</v>
      </c>
      <c r="BW145" s="43">
        <v>20883</v>
      </c>
      <c r="BX145" s="43">
        <f>215068-215068</f>
        <v>0</v>
      </c>
      <c r="BY145" s="43">
        <f>276589-276589</f>
        <v>0</v>
      </c>
      <c r="BZ145" s="37">
        <v>0</v>
      </c>
      <c r="CA145" s="44">
        <f t="shared" si="18"/>
        <v>29391005</v>
      </c>
    </row>
    <row r="146" spans="1:79" x14ac:dyDescent="0.25">
      <c r="A146" s="52" t="s">
        <v>358</v>
      </c>
      <c r="B146" s="52" t="s">
        <v>359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43">
        <v>113701</v>
      </c>
      <c r="J146" s="37">
        <v>0</v>
      </c>
      <c r="K146" s="37">
        <v>0</v>
      </c>
      <c r="L146" s="37">
        <v>0</v>
      </c>
      <c r="M146" s="37">
        <v>0</v>
      </c>
      <c r="N146" s="43">
        <v>954873</v>
      </c>
      <c r="O146" s="37">
        <v>0</v>
      </c>
      <c r="P146" s="37">
        <v>0</v>
      </c>
      <c r="Q146" s="37">
        <v>0</v>
      </c>
      <c r="R146" s="37">
        <v>0</v>
      </c>
      <c r="S146" s="43">
        <v>1074076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37">
        <v>0</v>
      </c>
      <c r="AI146" s="43">
        <v>2824533</v>
      </c>
      <c r="AJ146" s="37">
        <v>0</v>
      </c>
      <c r="AK146" s="37">
        <v>0</v>
      </c>
      <c r="AL146" s="37">
        <v>0</v>
      </c>
      <c r="AM146" s="44">
        <v>0</v>
      </c>
      <c r="AN146" s="43">
        <v>789085</v>
      </c>
      <c r="AO146" s="37">
        <v>0</v>
      </c>
      <c r="AP146" s="37">
        <v>0</v>
      </c>
      <c r="AQ146" s="43">
        <v>4884</v>
      </c>
      <c r="AR146" s="37">
        <v>0</v>
      </c>
      <c r="AS146" s="37">
        <v>0</v>
      </c>
      <c r="AT146" s="37">
        <v>0</v>
      </c>
      <c r="AU146" s="37">
        <v>0</v>
      </c>
      <c r="AV146" s="37">
        <v>0</v>
      </c>
      <c r="AW146" s="37">
        <v>0</v>
      </c>
      <c r="AX146" s="37">
        <v>0</v>
      </c>
      <c r="AY146" s="37">
        <v>0</v>
      </c>
      <c r="AZ146" s="37">
        <v>0</v>
      </c>
      <c r="BA146" s="37">
        <v>0</v>
      </c>
      <c r="BB146" s="37">
        <v>0</v>
      </c>
      <c r="BC146" s="37">
        <v>0</v>
      </c>
      <c r="BD146" s="37">
        <v>0</v>
      </c>
      <c r="BE146" s="37">
        <v>0</v>
      </c>
      <c r="BF146" s="37">
        <v>0</v>
      </c>
      <c r="BG146" s="37">
        <v>0</v>
      </c>
      <c r="BH146" s="37">
        <v>0</v>
      </c>
      <c r="BI146" s="37">
        <v>0</v>
      </c>
      <c r="BJ146" s="43">
        <v>192545</v>
      </c>
      <c r="BK146" s="37">
        <v>0</v>
      </c>
      <c r="BL146" s="37">
        <v>0</v>
      </c>
      <c r="BM146" s="37">
        <v>0</v>
      </c>
      <c r="BN146" s="37">
        <v>0</v>
      </c>
      <c r="BO146" s="37">
        <v>0</v>
      </c>
      <c r="BP146" s="37">
        <v>0</v>
      </c>
      <c r="BQ146" s="37">
        <v>0</v>
      </c>
      <c r="BR146" s="43">
        <v>94648</v>
      </c>
      <c r="BS146" s="37">
        <v>0</v>
      </c>
      <c r="BT146" s="37">
        <v>0</v>
      </c>
      <c r="BU146" s="43">
        <v>173457</v>
      </c>
      <c r="BV146" s="37">
        <v>0</v>
      </c>
      <c r="BW146" s="43">
        <v>178521</v>
      </c>
      <c r="BX146" s="43">
        <f>913259-127968-110887-256116</f>
        <v>418288</v>
      </c>
      <c r="BY146" s="37">
        <v>0</v>
      </c>
      <c r="BZ146" s="37">
        <v>0</v>
      </c>
      <c r="CA146" s="44">
        <f t="shared" si="18"/>
        <v>6818611</v>
      </c>
    </row>
    <row r="147" spans="1:79" x14ac:dyDescent="0.25">
      <c r="A147" s="52" t="s">
        <v>360</v>
      </c>
      <c r="B147" s="52" t="s">
        <v>361</v>
      </c>
      <c r="C147" s="37">
        <v>0</v>
      </c>
      <c r="D147" s="43">
        <v>791046</v>
      </c>
      <c r="E147" s="43">
        <v>92071</v>
      </c>
      <c r="F147" s="43">
        <v>676109</v>
      </c>
      <c r="G147" s="43">
        <v>123312</v>
      </c>
      <c r="H147" s="43">
        <v>217190</v>
      </c>
      <c r="I147" s="37">
        <v>0</v>
      </c>
      <c r="J147" s="37">
        <v>0</v>
      </c>
      <c r="K147" s="43">
        <v>99549</v>
      </c>
      <c r="L147" s="43">
        <v>60190</v>
      </c>
      <c r="M147" s="43">
        <v>112763</v>
      </c>
      <c r="N147" s="37">
        <v>0</v>
      </c>
      <c r="O147" s="43">
        <v>4499900</v>
      </c>
      <c r="P147" s="43">
        <v>552493</v>
      </c>
      <c r="Q147" s="43">
        <f>2910428-38400</f>
        <v>2872028</v>
      </c>
      <c r="R147" s="43">
        <v>1509789</v>
      </c>
      <c r="S147" s="37">
        <v>0</v>
      </c>
      <c r="T147" s="43">
        <v>1609955</v>
      </c>
      <c r="U147" s="37">
        <v>0</v>
      </c>
      <c r="V147" s="43">
        <v>1422500</v>
      </c>
      <c r="W147" s="43">
        <v>1390650</v>
      </c>
      <c r="X147" s="43">
        <v>305736</v>
      </c>
      <c r="Y147" s="43">
        <v>916104</v>
      </c>
      <c r="Z147" s="43">
        <v>1390803</v>
      </c>
      <c r="AA147" s="43">
        <v>366104</v>
      </c>
      <c r="AB147" s="43">
        <v>491338</v>
      </c>
      <c r="AC147" s="43">
        <v>622276</v>
      </c>
      <c r="AD147" s="43">
        <v>2310034</v>
      </c>
      <c r="AE147" s="43">
        <v>279896</v>
      </c>
      <c r="AF147" s="43">
        <v>896270</v>
      </c>
      <c r="AG147" s="43">
        <v>281142</v>
      </c>
      <c r="AH147" s="43">
        <v>1290980</v>
      </c>
      <c r="AI147" s="37">
        <v>0</v>
      </c>
      <c r="AJ147" s="43">
        <v>1283236</v>
      </c>
      <c r="AK147" s="43">
        <v>114497</v>
      </c>
      <c r="AL147" s="43">
        <v>195084</v>
      </c>
      <c r="AM147" s="44">
        <v>677129</v>
      </c>
      <c r="AN147" s="43">
        <f>84951-45209</f>
        <v>39742</v>
      </c>
      <c r="AO147" s="37">
        <v>0</v>
      </c>
      <c r="AP147" s="43">
        <v>1589439</v>
      </c>
      <c r="AQ147" s="43">
        <v>951134</v>
      </c>
      <c r="AR147" s="43">
        <v>1374173</v>
      </c>
      <c r="AS147" s="43">
        <v>706551</v>
      </c>
      <c r="AT147" s="43">
        <v>188360</v>
      </c>
      <c r="AU147" s="43">
        <v>600194</v>
      </c>
      <c r="AV147" s="43">
        <v>1207985</v>
      </c>
      <c r="AW147" s="43">
        <v>424872</v>
      </c>
      <c r="AX147" s="43">
        <v>1333906</v>
      </c>
      <c r="AY147" s="43">
        <v>974258</v>
      </c>
      <c r="AZ147" s="43">
        <v>127451</v>
      </c>
      <c r="BA147" s="43">
        <v>644958</v>
      </c>
      <c r="BB147" s="43">
        <v>905122</v>
      </c>
      <c r="BC147" s="43">
        <v>783203</v>
      </c>
      <c r="BD147" s="43">
        <v>1644405</v>
      </c>
      <c r="BE147" s="43">
        <v>3556228</v>
      </c>
      <c r="BF147" s="43">
        <v>2248966</v>
      </c>
      <c r="BG147" s="43">
        <f>3684407-61200</f>
        <v>3623207</v>
      </c>
      <c r="BH147" s="43">
        <v>1864728</v>
      </c>
      <c r="BI147" s="43">
        <v>488146</v>
      </c>
      <c r="BJ147" s="37">
        <v>0</v>
      </c>
      <c r="BK147" s="43">
        <v>622087</v>
      </c>
      <c r="BL147" s="43">
        <v>561642</v>
      </c>
      <c r="BM147" s="43">
        <v>522353</v>
      </c>
      <c r="BN147" s="43">
        <v>394854</v>
      </c>
      <c r="BO147" s="43">
        <v>1683907</v>
      </c>
      <c r="BP147" s="43">
        <v>1317462</v>
      </c>
      <c r="BQ147" s="43">
        <v>2039093</v>
      </c>
      <c r="BR147" s="37">
        <v>0</v>
      </c>
      <c r="BS147" s="43">
        <v>606051</v>
      </c>
      <c r="BT147" s="43">
        <v>755178</v>
      </c>
      <c r="BU147" s="37">
        <v>0</v>
      </c>
      <c r="BV147" s="43">
        <v>1050614</v>
      </c>
      <c r="BW147" s="37">
        <v>0</v>
      </c>
      <c r="BX147" s="37">
        <v>0</v>
      </c>
      <c r="BY147" s="43">
        <f>579358-186186-25534-81547</f>
        <v>286091</v>
      </c>
      <c r="BZ147" s="37">
        <v>0</v>
      </c>
      <c r="CA147" s="44">
        <f t="shared" si="18"/>
        <v>62566534</v>
      </c>
    </row>
    <row r="148" spans="1:79" x14ac:dyDescent="0.25">
      <c r="A148" s="52" t="s">
        <v>362</v>
      </c>
      <c r="B148" s="52" t="s">
        <v>363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44">
        <v>0</v>
      </c>
      <c r="AN148" s="37">
        <v>0</v>
      </c>
      <c r="AO148" s="37">
        <v>0</v>
      </c>
      <c r="AP148" s="37">
        <v>0</v>
      </c>
      <c r="AQ148" s="37">
        <v>0</v>
      </c>
      <c r="AR148" s="37">
        <v>0</v>
      </c>
      <c r="AS148" s="37">
        <v>0</v>
      </c>
      <c r="AT148" s="37">
        <v>0</v>
      </c>
      <c r="AU148" s="37">
        <v>0</v>
      </c>
      <c r="AV148" s="37">
        <v>0</v>
      </c>
      <c r="AW148" s="37">
        <v>0</v>
      </c>
      <c r="AX148" s="37">
        <v>0</v>
      </c>
      <c r="AY148" s="37">
        <v>0</v>
      </c>
      <c r="AZ148" s="37">
        <v>0</v>
      </c>
      <c r="BA148" s="37">
        <v>0</v>
      </c>
      <c r="BB148" s="37">
        <v>0</v>
      </c>
      <c r="BC148" s="37">
        <v>0</v>
      </c>
      <c r="BD148" s="37">
        <v>0</v>
      </c>
      <c r="BE148" s="37">
        <v>0</v>
      </c>
      <c r="BF148" s="37">
        <v>0</v>
      </c>
      <c r="BG148" s="37">
        <v>0</v>
      </c>
      <c r="BH148" s="37">
        <v>0</v>
      </c>
      <c r="BI148" s="37">
        <v>0</v>
      </c>
      <c r="BJ148" s="37">
        <v>0</v>
      </c>
      <c r="BK148" s="37">
        <v>0</v>
      </c>
      <c r="BL148" s="37">
        <v>0</v>
      </c>
      <c r="BM148" s="37">
        <v>0</v>
      </c>
      <c r="BN148" s="37">
        <v>0</v>
      </c>
      <c r="BO148" s="37">
        <v>0</v>
      </c>
      <c r="BP148" s="37">
        <v>0</v>
      </c>
      <c r="BQ148" s="37">
        <v>0</v>
      </c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44">
        <f t="shared" si="18"/>
        <v>0</v>
      </c>
    </row>
    <row r="149" spans="1:79" x14ac:dyDescent="0.25">
      <c r="A149" s="52" t="s">
        <v>364</v>
      </c>
      <c r="B149" s="52" t="s">
        <v>365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44">
        <v>0</v>
      </c>
      <c r="AN149" s="37">
        <v>0</v>
      </c>
      <c r="AO149" s="37">
        <v>0</v>
      </c>
      <c r="AP149" s="37">
        <v>0</v>
      </c>
      <c r="AQ149" s="37">
        <v>0</v>
      </c>
      <c r="AR149" s="37">
        <v>0</v>
      </c>
      <c r="AS149" s="37">
        <v>0</v>
      </c>
      <c r="AT149" s="37">
        <v>0</v>
      </c>
      <c r="AU149" s="37">
        <v>0</v>
      </c>
      <c r="AV149" s="37">
        <v>0</v>
      </c>
      <c r="AW149" s="37">
        <v>0</v>
      </c>
      <c r="AX149" s="37">
        <v>0</v>
      </c>
      <c r="AY149" s="37">
        <v>0</v>
      </c>
      <c r="AZ149" s="37">
        <v>0</v>
      </c>
      <c r="BA149" s="37">
        <v>0</v>
      </c>
      <c r="BB149" s="37">
        <v>0</v>
      </c>
      <c r="BC149" s="37">
        <v>0</v>
      </c>
      <c r="BD149" s="37">
        <v>0</v>
      </c>
      <c r="BE149" s="37">
        <v>0</v>
      </c>
      <c r="BF149" s="37">
        <v>0</v>
      </c>
      <c r="BG149" s="37">
        <v>0</v>
      </c>
      <c r="BH149" s="37">
        <v>0</v>
      </c>
      <c r="BI149" s="37">
        <v>0</v>
      </c>
      <c r="BJ149" s="37">
        <v>0</v>
      </c>
      <c r="BK149" s="37">
        <v>0</v>
      </c>
      <c r="BL149" s="37">
        <v>0</v>
      </c>
      <c r="BM149" s="37">
        <v>0</v>
      </c>
      <c r="BN149" s="37">
        <v>0</v>
      </c>
      <c r="BO149" s="37">
        <v>0</v>
      </c>
      <c r="BP149" s="37">
        <v>0</v>
      </c>
      <c r="BQ149" s="37">
        <v>0</v>
      </c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44">
        <f t="shared" si="18"/>
        <v>0</v>
      </c>
    </row>
    <row r="150" spans="1:79" x14ac:dyDescent="0.25">
      <c r="A150" s="52" t="s">
        <v>366</v>
      </c>
      <c r="B150" s="52" t="s">
        <v>232</v>
      </c>
      <c r="C150" s="43">
        <v>138391</v>
      </c>
      <c r="D150" s="43">
        <v>638487</v>
      </c>
      <c r="E150" s="37">
        <v>0</v>
      </c>
      <c r="F150" s="43">
        <v>365710</v>
      </c>
      <c r="G150" s="37">
        <v>0</v>
      </c>
      <c r="H150" s="37">
        <v>0</v>
      </c>
      <c r="I150" s="37">
        <v>0</v>
      </c>
      <c r="J150" s="43">
        <v>349302</v>
      </c>
      <c r="K150" s="43">
        <v>458858</v>
      </c>
      <c r="L150" s="37">
        <v>0</v>
      </c>
      <c r="M150" s="37">
        <v>0</v>
      </c>
      <c r="N150" s="43">
        <v>468054</v>
      </c>
      <c r="O150" s="43">
        <v>576885</v>
      </c>
      <c r="P150" s="37">
        <v>0</v>
      </c>
      <c r="Q150" s="43">
        <v>439871</v>
      </c>
      <c r="R150" s="43">
        <v>334857</v>
      </c>
      <c r="S150" s="43">
        <v>193565</v>
      </c>
      <c r="T150" s="43">
        <v>192320</v>
      </c>
      <c r="U150" s="37">
        <v>0</v>
      </c>
      <c r="V150" s="43">
        <v>323034</v>
      </c>
      <c r="W150" s="43">
        <v>344571</v>
      </c>
      <c r="X150" s="37">
        <v>0</v>
      </c>
      <c r="Y150" s="43">
        <v>186729</v>
      </c>
      <c r="Z150" s="43">
        <v>438062</v>
      </c>
      <c r="AA150" s="37">
        <v>0</v>
      </c>
      <c r="AB150" s="43">
        <v>221752</v>
      </c>
      <c r="AC150" s="43">
        <v>76257</v>
      </c>
      <c r="AD150" s="43">
        <v>527824</v>
      </c>
      <c r="AE150" s="37">
        <v>0</v>
      </c>
      <c r="AF150" s="37">
        <v>0</v>
      </c>
      <c r="AG150" s="37">
        <v>0</v>
      </c>
      <c r="AH150" s="43">
        <v>248897</v>
      </c>
      <c r="AI150" s="43">
        <v>1109928</v>
      </c>
      <c r="AJ150" s="43">
        <v>269770</v>
      </c>
      <c r="AK150" s="37">
        <v>0</v>
      </c>
      <c r="AL150" s="37">
        <v>0</v>
      </c>
      <c r="AM150" s="44">
        <v>134455</v>
      </c>
      <c r="AN150" s="43">
        <v>654991</v>
      </c>
      <c r="AO150" s="37">
        <v>0</v>
      </c>
      <c r="AP150" s="43">
        <v>269671</v>
      </c>
      <c r="AQ150" s="43">
        <v>193449</v>
      </c>
      <c r="AR150" s="43">
        <v>180653</v>
      </c>
      <c r="AS150" s="37">
        <v>0</v>
      </c>
      <c r="AT150" s="37">
        <v>0</v>
      </c>
      <c r="AU150" s="43">
        <v>355494</v>
      </c>
      <c r="AV150" s="43">
        <v>639371</v>
      </c>
      <c r="AW150" s="43">
        <v>190597</v>
      </c>
      <c r="AX150" s="37">
        <v>0</v>
      </c>
      <c r="AY150" s="37">
        <v>0</v>
      </c>
      <c r="AZ150" s="37">
        <v>0</v>
      </c>
      <c r="BA150" s="43">
        <v>157634</v>
      </c>
      <c r="BB150" s="43">
        <v>234501</v>
      </c>
      <c r="BC150" s="43">
        <v>305563</v>
      </c>
      <c r="BD150" s="43">
        <v>249885</v>
      </c>
      <c r="BE150" s="37">
        <v>0</v>
      </c>
      <c r="BF150" s="43">
        <v>527954</v>
      </c>
      <c r="BG150" s="43">
        <v>578213</v>
      </c>
      <c r="BH150" s="43">
        <v>539360</v>
      </c>
      <c r="BI150" s="43">
        <v>80157</v>
      </c>
      <c r="BJ150" s="37">
        <v>0</v>
      </c>
      <c r="BK150" s="37">
        <v>0</v>
      </c>
      <c r="BL150" s="37">
        <v>0</v>
      </c>
      <c r="BM150" s="37">
        <v>0</v>
      </c>
      <c r="BN150" s="37">
        <v>0</v>
      </c>
      <c r="BO150" s="37">
        <v>0</v>
      </c>
      <c r="BP150" s="43">
        <v>566869</v>
      </c>
      <c r="BQ150" s="43">
        <v>473861</v>
      </c>
      <c r="BR150" s="37">
        <v>0</v>
      </c>
      <c r="BS150" s="43">
        <v>192844</v>
      </c>
      <c r="BT150" s="37">
        <v>0</v>
      </c>
      <c r="BU150" s="43">
        <v>294842</v>
      </c>
      <c r="BV150" s="43">
        <v>435808</v>
      </c>
      <c r="BW150" s="37">
        <v>0</v>
      </c>
      <c r="BX150" s="37">
        <v>0</v>
      </c>
      <c r="BY150" s="37">
        <v>0</v>
      </c>
      <c r="BZ150" s="37">
        <v>0</v>
      </c>
      <c r="CA150" s="44">
        <f t="shared" si="18"/>
        <v>15159296</v>
      </c>
    </row>
    <row r="151" spans="1:79" x14ac:dyDescent="0.25">
      <c r="A151" s="52" t="s">
        <v>367</v>
      </c>
      <c r="B151" s="52" t="s">
        <v>368</v>
      </c>
      <c r="C151" s="37">
        <v>0</v>
      </c>
      <c r="D151" s="43">
        <v>219105</v>
      </c>
      <c r="E151" s="43">
        <v>32499</v>
      </c>
      <c r="F151" s="43">
        <v>88801</v>
      </c>
      <c r="G151" s="43">
        <v>63234</v>
      </c>
      <c r="H151" s="43">
        <v>9825</v>
      </c>
      <c r="I151" s="43">
        <v>9754</v>
      </c>
      <c r="J151" s="43">
        <v>121028</v>
      </c>
      <c r="K151" s="43">
        <v>20972</v>
      </c>
      <c r="L151" s="43">
        <v>20236</v>
      </c>
      <c r="M151" s="43">
        <v>18040</v>
      </c>
      <c r="N151" s="43">
        <v>339971</v>
      </c>
      <c r="O151" s="43">
        <v>259202</v>
      </c>
      <c r="P151" s="43">
        <v>12281</v>
      </c>
      <c r="Q151" s="43">
        <v>433501</v>
      </c>
      <c r="R151" s="43">
        <v>133420</v>
      </c>
      <c r="S151" s="43">
        <v>76712</v>
      </c>
      <c r="T151" s="43">
        <v>90880</v>
      </c>
      <c r="U151" s="37">
        <v>0</v>
      </c>
      <c r="V151" s="43">
        <v>148670</v>
      </c>
      <c r="W151" s="43">
        <v>213112</v>
      </c>
      <c r="X151" s="43">
        <v>8678</v>
      </c>
      <c r="Y151" s="43">
        <v>45111</v>
      </c>
      <c r="Z151" s="43">
        <v>152285</v>
      </c>
      <c r="AA151" s="43">
        <v>9825</v>
      </c>
      <c r="AB151" s="43">
        <v>74016</v>
      </c>
      <c r="AC151" s="43">
        <v>14608</v>
      </c>
      <c r="AD151" s="43">
        <v>125829</v>
      </c>
      <c r="AE151" s="43">
        <v>57736</v>
      </c>
      <c r="AF151" s="43">
        <v>66968</v>
      </c>
      <c r="AG151" s="43">
        <v>10106</v>
      </c>
      <c r="AH151" s="43">
        <v>135391</v>
      </c>
      <c r="AI151" s="43">
        <v>534740</v>
      </c>
      <c r="AJ151" s="43">
        <v>50862</v>
      </c>
      <c r="AK151" s="43">
        <v>7369</v>
      </c>
      <c r="AL151" s="43">
        <v>12533</v>
      </c>
      <c r="AM151" s="44">
        <v>46186</v>
      </c>
      <c r="AN151" s="43">
        <f>115529-976</f>
        <v>114553</v>
      </c>
      <c r="AO151" s="37">
        <v>0</v>
      </c>
      <c r="AP151" s="43">
        <v>142008</v>
      </c>
      <c r="AQ151" s="43">
        <v>136031</v>
      </c>
      <c r="AR151" s="43">
        <v>120428</v>
      </c>
      <c r="AS151" s="43">
        <v>34800</v>
      </c>
      <c r="AT151" s="43">
        <v>13147</v>
      </c>
      <c r="AU151" s="43">
        <v>202990</v>
      </c>
      <c r="AV151" s="43">
        <v>228419</v>
      </c>
      <c r="AW151" s="43">
        <v>3036</v>
      </c>
      <c r="AX151" s="43">
        <v>69265</v>
      </c>
      <c r="AY151" s="43">
        <v>155171</v>
      </c>
      <c r="AZ151" s="43">
        <v>19512</v>
      </c>
      <c r="BA151" s="43">
        <v>95789</v>
      </c>
      <c r="BB151" s="43">
        <v>39064</v>
      </c>
      <c r="BC151" s="43">
        <v>50578</v>
      </c>
      <c r="BD151" s="43">
        <v>126907</v>
      </c>
      <c r="BE151" s="43">
        <v>65586</v>
      </c>
      <c r="BF151" s="43">
        <v>186846</v>
      </c>
      <c r="BG151" s="43">
        <v>566443</v>
      </c>
      <c r="BH151" s="43">
        <v>252260</v>
      </c>
      <c r="BI151" s="43">
        <v>35465</v>
      </c>
      <c r="BJ151" s="43">
        <v>58940</v>
      </c>
      <c r="BK151" s="43">
        <v>61412</v>
      </c>
      <c r="BL151" s="43">
        <v>16136</v>
      </c>
      <c r="BM151" s="43">
        <v>25790</v>
      </c>
      <c r="BN151" s="43">
        <v>61185</v>
      </c>
      <c r="BO151" s="43">
        <v>130704</v>
      </c>
      <c r="BP151" s="43">
        <v>58679</v>
      </c>
      <c r="BQ151" s="43">
        <v>287114</v>
      </c>
      <c r="BR151" s="43">
        <v>36371</v>
      </c>
      <c r="BS151" s="43">
        <v>28938</v>
      </c>
      <c r="BT151" s="43">
        <v>81447</v>
      </c>
      <c r="BU151" s="43">
        <v>30084</v>
      </c>
      <c r="BV151" s="43">
        <v>181520</v>
      </c>
      <c r="BW151" s="43">
        <v>59707</v>
      </c>
      <c r="BX151" s="43">
        <f>332028-3456-5871-18911-11742-4955-15656-3122-35618-10671-2935-16916-6849-121-23251</f>
        <v>171954</v>
      </c>
      <c r="BY151" s="43">
        <f>309955-906-6791-8150-19446-2000-16299-2264-8602-7842-15878-2264-380-4980-5433-12224</f>
        <v>196496</v>
      </c>
      <c r="BZ151" s="43">
        <f>46668-23334</f>
        <v>23334</v>
      </c>
      <c r="CA151" s="44">
        <f t="shared" si="18"/>
        <v>7831595</v>
      </c>
    </row>
    <row r="152" spans="1:79" x14ac:dyDescent="0.25">
      <c r="A152" s="52" t="s">
        <v>369</v>
      </c>
      <c r="B152" s="52" t="s">
        <v>370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43">
        <f>45000-45000</f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44">
        <v>0</v>
      </c>
      <c r="AN152" s="37">
        <v>0</v>
      </c>
      <c r="AO152" s="37">
        <v>0</v>
      </c>
      <c r="AP152" s="37">
        <v>0</v>
      </c>
      <c r="AQ152" s="37">
        <v>0</v>
      </c>
      <c r="AR152" s="37">
        <v>0</v>
      </c>
      <c r="AS152" s="37">
        <v>0</v>
      </c>
      <c r="AT152" s="37">
        <v>0</v>
      </c>
      <c r="AU152" s="37">
        <v>0</v>
      </c>
      <c r="AV152" s="37">
        <v>0</v>
      </c>
      <c r="AW152" s="37">
        <v>0</v>
      </c>
      <c r="AX152" s="37">
        <v>0</v>
      </c>
      <c r="AY152" s="37">
        <v>0</v>
      </c>
      <c r="AZ152" s="37">
        <v>0</v>
      </c>
      <c r="BA152" s="37">
        <v>0</v>
      </c>
      <c r="BB152" s="37">
        <v>0</v>
      </c>
      <c r="BC152" s="37">
        <v>0</v>
      </c>
      <c r="BD152" s="37">
        <v>0</v>
      </c>
      <c r="BE152" s="37">
        <v>0</v>
      </c>
      <c r="BF152" s="37">
        <v>0</v>
      </c>
      <c r="BG152" s="37">
        <v>0</v>
      </c>
      <c r="BH152" s="37">
        <v>0</v>
      </c>
      <c r="BI152" s="37">
        <v>0</v>
      </c>
      <c r="BJ152" s="37">
        <v>0</v>
      </c>
      <c r="BK152" s="37">
        <v>0</v>
      </c>
      <c r="BL152" s="37">
        <v>0</v>
      </c>
      <c r="BM152" s="37">
        <v>0</v>
      </c>
      <c r="BN152" s="37">
        <v>0</v>
      </c>
      <c r="BO152" s="37">
        <v>0</v>
      </c>
      <c r="BP152" s="37">
        <v>0</v>
      </c>
      <c r="BQ152" s="37">
        <v>0</v>
      </c>
      <c r="BR152" s="37">
        <v>0</v>
      </c>
      <c r="BS152" s="37">
        <v>0</v>
      </c>
      <c r="BT152" s="37">
        <v>0</v>
      </c>
      <c r="BU152" s="37">
        <v>0</v>
      </c>
      <c r="BV152" s="37">
        <v>0</v>
      </c>
      <c r="BW152" s="37">
        <v>0</v>
      </c>
      <c r="BX152" s="37">
        <v>0</v>
      </c>
      <c r="BY152" s="43">
        <f>333952-333952</f>
        <v>0</v>
      </c>
      <c r="BZ152" s="37">
        <v>0</v>
      </c>
      <c r="CA152" s="44">
        <f t="shared" si="18"/>
        <v>0</v>
      </c>
    </row>
    <row r="153" spans="1:79" x14ac:dyDescent="0.25">
      <c r="A153" s="52" t="s">
        <v>371</v>
      </c>
      <c r="B153" s="52" t="s">
        <v>372</v>
      </c>
      <c r="C153" s="43">
        <v>138555</v>
      </c>
      <c r="D153" s="43">
        <v>191841</v>
      </c>
      <c r="E153" s="43">
        <v>493362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43">
        <v>146092</v>
      </c>
      <c r="M153" s="43">
        <v>286372</v>
      </c>
      <c r="N153" s="43">
        <v>260504</v>
      </c>
      <c r="O153" s="43">
        <v>271687</v>
      </c>
      <c r="P153" s="37">
        <v>0</v>
      </c>
      <c r="Q153" s="43">
        <v>1990000</v>
      </c>
      <c r="R153" s="43">
        <v>235770</v>
      </c>
      <c r="S153" s="43">
        <v>360037</v>
      </c>
      <c r="T153" s="43">
        <v>172956</v>
      </c>
      <c r="U153" s="37">
        <v>0</v>
      </c>
      <c r="V153" s="43">
        <v>724421</v>
      </c>
      <c r="W153" s="43">
        <v>140139</v>
      </c>
      <c r="X153" s="37">
        <v>0</v>
      </c>
      <c r="Y153" s="43">
        <v>93995</v>
      </c>
      <c r="Z153" s="43">
        <v>227836</v>
      </c>
      <c r="AA153" s="43">
        <v>136000</v>
      </c>
      <c r="AB153" s="37">
        <v>0</v>
      </c>
      <c r="AC153" s="37">
        <v>0</v>
      </c>
      <c r="AD153" s="43">
        <v>1066235</v>
      </c>
      <c r="AE153" s="43">
        <v>102107</v>
      </c>
      <c r="AF153" s="43">
        <v>134812</v>
      </c>
      <c r="AG153" s="37">
        <v>0</v>
      </c>
      <c r="AH153" s="43">
        <v>189698</v>
      </c>
      <c r="AI153" s="43">
        <v>861458</v>
      </c>
      <c r="AJ153" s="37">
        <v>0</v>
      </c>
      <c r="AK153" s="43">
        <v>135338</v>
      </c>
      <c r="AL153" s="37">
        <v>0</v>
      </c>
      <c r="AM153" s="44">
        <v>119000</v>
      </c>
      <c r="AN153" s="43">
        <f>289362-214362-75000</f>
        <v>0</v>
      </c>
      <c r="AO153" s="37">
        <v>0</v>
      </c>
      <c r="AP153" s="43">
        <v>208762</v>
      </c>
      <c r="AQ153" s="37">
        <v>0</v>
      </c>
      <c r="AR153" s="43">
        <v>298261</v>
      </c>
      <c r="AS153" s="43">
        <v>196510</v>
      </c>
      <c r="AT153" s="43">
        <v>393384</v>
      </c>
      <c r="AU153" s="43">
        <v>57339</v>
      </c>
      <c r="AV153" s="43">
        <v>514551</v>
      </c>
      <c r="AW153" s="37">
        <v>0</v>
      </c>
      <c r="AX153" s="43">
        <v>453950</v>
      </c>
      <c r="AY153" s="43">
        <v>256449</v>
      </c>
      <c r="AZ153" s="43">
        <v>190265</v>
      </c>
      <c r="BA153" s="37">
        <v>0</v>
      </c>
      <c r="BB153" s="37">
        <v>0</v>
      </c>
      <c r="BC153" s="37">
        <v>0</v>
      </c>
      <c r="BD153" s="37">
        <v>0</v>
      </c>
      <c r="BE153" s="43">
        <v>578330</v>
      </c>
      <c r="BF153" s="37">
        <v>0</v>
      </c>
      <c r="BG153" s="43">
        <v>1032228</v>
      </c>
      <c r="BH153" s="43">
        <v>268318</v>
      </c>
      <c r="BI153" s="37">
        <v>0</v>
      </c>
      <c r="BJ153" s="37">
        <v>0</v>
      </c>
      <c r="BK153" s="37">
        <v>0</v>
      </c>
      <c r="BL153" s="37">
        <v>0</v>
      </c>
      <c r="BM153" s="37">
        <v>0</v>
      </c>
      <c r="BN153" s="37">
        <v>0</v>
      </c>
      <c r="BO153" s="37">
        <v>0</v>
      </c>
      <c r="BP153" s="43">
        <v>67016</v>
      </c>
      <c r="BQ153" s="43">
        <v>681711</v>
      </c>
      <c r="BR153" s="37">
        <v>0</v>
      </c>
      <c r="BS153" s="43">
        <v>273214</v>
      </c>
      <c r="BT153" s="43">
        <v>157272</v>
      </c>
      <c r="BU153" s="37">
        <v>0</v>
      </c>
      <c r="BV153" s="43">
        <v>458956</v>
      </c>
      <c r="BW153" s="37">
        <v>0</v>
      </c>
      <c r="BX153" s="43">
        <f>1322372-72607-122962-190000-45000-48000-16405-16537-154861</f>
        <v>656000</v>
      </c>
      <c r="BY153" s="43">
        <f>2545679-107000-257121-181703-775312-226286-77000-56257</f>
        <v>865000</v>
      </c>
      <c r="BZ153" s="37">
        <v>0</v>
      </c>
      <c r="CA153" s="44">
        <f t="shared" si="18"/>
        <v>16085731</v>
      </c>
    </row>
    <row r="154" spans="1:79" x14ac:dyDescent="0.25">
      <c r="A154" s="52" t="s">
        <v>373</v>
      </c>
      <c r="B154" s="52" t="s">
        <v>252</v>
      </c>
      <c r="C154" s="43">
        <v>70500</v>
      </c>
      <c r="D154" s="43">
        <v>501900</v>
      </c>
      <c r="E154" s="43">
        <v>25800</v>
      </c>
      <c r="F154" s="43">
        <v>217800</v>
      </c>
      <c r="G154" s="43">
        <v>73200</v>
      </c>
      <c r="H154" s="43">
        <v>59400</v>
      </c>
      <c r="I154" s="43">
        <v>66300</v>
      </c>
      <c r="J154" s="43">
        <v>281700</v>
      </c>
      <c r="K154" s="43">
        <v>42600</v>
      </c>
      <c r="L154" s="43">
        <v>45900</v>
      </c>
      <c r="M154" s="43">
        <v>32100</v>
      </c>
      <c r="N154" s="43">
        <f>570600-19800</f>
        <v>550800</v>
      </c>
      <c r="O154" s="43">
        <v>720350</v>
      </c>
      <c r="P154" s="43">
        <v>36300</v>
      </c>
      <c r="Q154" s="43">
        <f>1183850-9900-4500-10800-2100</f>
        <v>1156550</v>
      </c>
      <c r="R154" s="43">
        <v>180000</v>
      </c>
      <c r="S154" s="43">
        <f>107400-7500</f>
        <v>99900</v>
      </c>
      <c r="T154" s="43">
        <v>143700</v>
      </c>
      <c r="U154" s="37">
        <v>0</v>
      </c>
      <c r="V154" s="43">
        <v>92400</v>
      </c>
      <c r="W154" s="43">
        <v>230700</v>
      </c>
      <c r="X154" s="43">
        <v>28200</v>
      </c>
      <c r="Y154" s="43">
        <v>64375</v>
      </c>
      <c r="Z154" s="43">
        <v>436200</v>
      </c>
      <c r="AA154" s="43">
        <v>45000</v>
      </c>
      <c r="AB154" s="43">
        <v>62100</v>
      </c>
      <c r="AC154" s="43">
        <v>68700</v>
      </c>
      <c r="AD154" s="37">
        <v>0</v>
      </c>
      <c r="AE154" s="43">
        <v>24600</v>
      </c>
      <c r="AF154" s="43">
        <v>66900</v>
      </c>
      <c r="AG154" s="43">
        <v>28500</v>
      </c>
      <c r="AH154" s="43">
        <f>180600-5400</f>
        <v>175200</v>
      </c>
      <c r="AI154" s="43">
        <v>1517470</v>
      </c>
      <c r="AJ154" s="43">
        <v>156210</v>
      </c>
      <c r="AK154" s="43">
        <v>15900</v>
      </c>
      <c r="AL154" s="43">
        <v>33000</v>
      </c>
      <c r="AM154" s="44">
        <v>49200</v>
      </c>
      <c r="AN154" s="43">
        <f>921900-6600-4800</f>
        <v>910500</v>
      </c>
      <c r="AO154" s="37">
        <v>0</v>
      </c>
      <c r="AP154" s="43">
        <v>223200</v>
      </c>
      <c r="AQ154" s="43">
        <v>252300</v>
      </c>
      <c r="AR154" s="43">
        <v>102900</v>
      </c>
      <c r="AS154" s="43">
        <v>54600</v>
      </c>
      <c r="AT154" s="43">
        <v>30000</v>
      </c>
      <c r="AU154" s="43">
        <v>667500</v>
      </c>
      <c r="AV154" s="43">
        <v>165300</v>
      </c>
      <c r="AW154" s="43">
        <v>50700</v>
      </c>
      <c r="AX154" s="43">
        <v>75000</v>
      </c>
      <c r="AY154" s="43">
        <v>360013</v>
      </c>
      <c r="AZ154" s="43">
        <v>12900</v>
      </c>
      <c r="BA154" s="43">
        <v>78900</v>
      </c>
      <c r="BB154" s="43">
        <v>68700</v>
      </c>
      <c r="BC154" s="43">
        <v>142500</v>
      </c>
      <c r="BD154" s="43">
        <v>224700</v>
      </c>
      <c r="BE154" s="43">
        <v>232200</v>
      </c>
      <c r="BF154" s="43">
        <v>311700</v>
      </c>
      <c r="BG154" s="43">
        <v>501950</v>
      </c>
      <c r="BH154" s="43">
        <v>514800</v>
      </c>
      <c r="BI154" s="43">
        <v>47100</v>
      </c>
      <c r="BJ154" s="43">
        <v>103500</v>
      </c>
      <c r="BK154" s="43">
        <v>181500</v>
      </c>
      <c r="BL154" s="43">
        <v>60600</v>
      </c>
      <c r="BM154" s="43">
        <v>49500</v>
      </c>
      <c r="BN154" s="43">
        <v>191700</v>
      </c>
      <c r="BO154" s="43">
        <v>219900</v>
      </c>
      <c r="BP154" s="43">
        <v>169200</v>
      </c>
      <c r="BQ154" s="43">
        <v>254400</v>
      </c>
      <c r="BR154" s="43">
        <v>67800</v>
      </c>
      <c r="BS154" s="43">
        <v>84401</v>
      </c>
      <c r="BT154" s="43">
        <v>111600</v>
      </c>
      <c r="BU154" s="43">
        <v>196500</v>
      </c>
      <c r="BV154" s="43">
        <v>156200</v>
      </c>
      <c r="BW154" s="37">
        <v>0</v>
      </c>
      <c r="BX154" s="43">
        <f>2400-2400</f>
        <v>0</v>
      </c>
      <c r="BY154" s="43">
        <f>8100-8100</f>
        <v>0</v>
      </c>
      <c r="BZ154" s="37">
        <v>0</v>
      </c>
      <c r="CA154" s="44">
        <f t="shared" si="18"/>
        <v>14273719</v>
      </c>
    </row>
    <row r="155" spans="1:79" x14ac:dyDescent="0.25">
      <c r="A155" s="52" t="s">
        <v>374</v>
      </c>
      <c r="B155" s="52" t="s">
        <v>375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43">
        <v>291014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43">
        <v>1997</v>
      </c>
      <c r="AM155" s="44">
        <v>0</v>
      </c>
      <c r="AN155" s="37">
        <v>0</v>
      </c>
      <c r="AO155" s="37">
        <v>0</v>
      </c>
      <c r="AP155" s="37">
        <v>0</v>
      </c>
      <c r="AQ155" s="37">
        <v>0</v>
      </c>
      <c r="AR155" s="37">
        <v>0</v>
      </c>
      <c r="AS155" s="37">
        <v>0</v>
      </c>
      <c r="AT155" s="37">
        <v>0</v>
      </c>
      <c r="AU155" s="37">
        <v>0</v>
      </c>
      <c r="AV155" s="37">
        <v>0</v>
      </c>
      <c r="AW155" s="37">
        <v>0</v>
      </c>
      <c r="AX155" s="37">
        <v>0</v>
      </c>
      <c r="AY155" s="37">
        <v>0</v>
      </c>
      <c r="AZ155" s="37">
        <v>0</v>
      </c>
      <c r="BA155" s="37">
        <v>0</v>
      </c>
      <c r="BB155" s="37">
        <v>0</v>
      </c>
      <c r="BC155" s="37">
        <v>0</v>
      </c>
      <c r="BD155" s="37">
        <v>0</v>
      </c>
      <c r="BE155" s="37">
        <v>0</v>
      </c>
      <c r="BF155" s="37">
        <v>0</v>
      </c>
      <c r="BG155" s="37">
        <v>0</v>
      </c>
      <c r="BH155" s="37">
        <v>0</v>
      </c>
      <c r="BI155" s="37">
        <v>0</v>
      </c>
      <c r="BJ155" s="37">
        <v>0</v>
      </c>
      <c r="BK155" s="37">
        <v>0</v>
      </c>
      <c r="BL155" s="37">
        <v>0</v>
      </c>
      <c r="BM155" s="37">
        <v>0</v>
      </c>
      <c r="BN155" s="37">
        <v>0</v>
      </c>
      <c r="BO155" s="37">
        <v>0</v>
      </c>
      <c r="BP155" s="37">
        <v>0</v>
      </c>
      <c r="BQ155" s="37">
        <v>0</v>
      </c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43">
        <v>22549</v>
      </c>
      <c r="BY155" s="43">
        <f>4243065-4243065</f>
        <v>0</v>
      </c>
      <c r="BZ155" s="37">
        <v>0</v>
      </c>
      <c r="CA155" s="44">
        <f t="shared" si="18"/>
        <v>315560</v>
      </c>
    </row>
    <row r="156" spans="1:79" x14ac:dyDescent="0.25">
      <c r="A156" s="52" t="s">
        <v>376</v>
      </c>
      <c r="B156" s="52" t="s">
        <v>377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44">
        <v>0</v>
      </c>
      <c r="AN156" s="37">
        <v>0</v>
      </c>
      <c r="AO156" s="37">
        <v>0</v>
      </c>
      <c r="AP156" s="37">
        <v>0</v>
      </c>
      <c r="AQ156" s="37">
        <v>0</v>
      </c>
      <c r="AR156" s="37">
        <v>0</v>
      </c>
      <c r="AS156" s="37">
        <v>0</v>
      </c>
      <c r="AT156" s="37">
        <v>0</v>
      </c>
      <c r="AU156" s="37">
        <v>0</v>
      </c>
      <c r="AV156" s="37">
        <v>0</v>
      </c>
      <c r="AW156" s="37">
        <v>0</v>
      </c>
      <c r="AX156" s="37">
        <v>0</v>
      </c>
      <c r="AY156" s="37">
        <v>0</v>
      </c>
      <c r="AZ156" s="37">
        <v>0</v>
      </c>
      <c r="BA156" s="37">
        <v>0</v>
      </c>
      <c r="BB156" s="37">
        <v>0</v>
      </c>
      <c r="BC156" s="37">
        <v>0</v>
      </c>
      <c r="BD156" s="37">
        <v>0</v>
      </c>
      <c r="BE156" s="37">
        <v>0</v>
      </c>
      <c r="BF156" s="37">
        <v>0</v>
      </c>
      <c r="BG156" s="37">
        <v>0</v>
      </c>
      <c r="BH156" s="37">
        <v>0</v>
      </c>
      <c r="BI156" s="37">
        <v>0</v>
      </c>
      <c r="BJ156" s="37">
        <v>0</v>
      </c>
      <c r="BK156" s="37">
        <v>0</v>
      </c>
      <c r="BL156" s="37">
        <v>0</v>
      </c>
      <c r="BM156" s="37">
        <v>0</v>
      </c>
      <c r="BN156" s="37">
        <v>0</v>
      </c>
      <c r="BO156" s="37">
        <v>0</v>
      </c>
      <c r="BP156" s="37">
        <v>0</v>
      </c>
      <c r="BQ156" s="37">
        <v>0</v>
      </c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44">
        <f t="shared" si="18"/>
        <v>0</v>
      </c>
    </row>
    <row r="157" spans="1:79" x14ac:dyDescent="0.25">
      <c r="A157" s="52" t="s">
        <v>378</v>
      </c>
      <c r="B157" s="52" t="s">
        <v>379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>
        <v>0</v>
      </c>
      <c r="AM157" s="44">
        <v>0</v>
      </c>
      <c r="AN157" s="37">
        <v>0</v>
      </c>
      <c r="AO157" s="37">
        <v>0</v>
      </c>
      <c r="AP157" s="37">
        <v>0</v>
      </c>
      <c r="AQ157" s="37">
        <v>0</v>
      </c>
      <c r="AR157" s="37">
        <v>0</v>
      </c>
      <c r="AS157" s="37">
        <v>0</v>
      </c>
      <c r="AT157" s="37">
        <v>0</v>
      </c>
      <c r="AU157" s="37">
        <v>0</v>
      </c>
      <c r="AV157" s="37">
        <v>0</v>
      </c>
      <c r="AW157" s="37">
        <v>0</v>
      </c>
      <c r="AX157" s="37">
        <v>0</v>
      </c>
      <c r="AY157" s="37">
        <v>0</v>
      </c>
      <c r="AZ157" s="37">
        <v>0</v>
      </c>
      <c r="BA157" s="37">
        <v>0</v>
      </c>
      <c r="BB157" s="37">
        <v>0</v>
      </c>
      <c r="BC157" s="37">
        <v>0</v>
      </c>
      <c r="BD157" s="37">
        <v>0</v>
      </c>
      <c r="BE157" s="37">
        <v>0</v>
      </c>
      <c r="BF157" s="37">
        <v>0</v>
      </c>
      <c r="BG157" s="37">
        <v>0</v>
      </c>
      <c r="BH157" s="37">
        <v>0</v>
      </c>
      <c r="BI157" s="37">
        <v>0</v>
      </c>
      <c r="BJ157" s="37">
        <v>0</v>
      </c>
      <c r="BK157" s="37">
        <v>0</v>
      </c>
      <c r="BL157" s="37">
        <v>0</v>
      </c>
      <c r="BM157" s="37">
        <v>0</v>
      </c>
      <c r="BN157" s="37">
        <v>0</v>
      </c>
      <c r="BO157" s="37">
        <v>0</v>
      </c>
      <c r="BP157" s="37">
        <v>0</v>
      </c>
      <c r="BQ157" s="37">
        <v>0</v>
      </c>
      <c r="BR157" s="37">
        <v>0</v>
      </c>
      <c r="BS157" s="37">
        <v>0</v>
      </c>
      <c r="BT157" s="37">
        <v>0</v>
      </c>
      <c r="BU157" s="37">
        <v>0</v>
      </c>
      <c r="BV157" s="37">
        <v>0</v>
      </c>
      <c r="BW157" s="37">
        <v>0</v>
      </c>
      <c r="BX157" s="37">
        <v>0</v>
      </c>
      <c r="BY157" s="37">
        <v>0</v>
      </c>
      <c r="BZ157" s="37">
        <v>0</v>
      </c>
      <c r="CA157" s="44">
        <f t="shared" si="18"/>
        <v>0</v>
      </c>
    </row>
    <row r="158" spans="1:79" x14ac:dyDescent="0.25">
      <c r="A158" s="52" t="s">
        <v>380</v>
      </c>
      <c r="B158" s="52" t="s">
        <v>381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44">
        <v>0</v>
      </c>
      <c r="AN158" s="37">
        <v>0</v>
      </c>
      <c r="AO158" s="37">
        <v>0</v>
      </c>
      <c r="AP158" s="37">
        <v>0</v>
      </c>
      <c r="AQ158" s="37">
        <v>0</v>
      </c>
      <c r="AR158" s="37">
        <v>0</v>
      </c>
      <c r="AS158" s="37">
        <v>0</v>
      </c>
      <c r="AT158" s="37">
        <v>0</v>
      </c>
      <c r="AU158" s="37">
        <v>0</v>
      </c>
      <c r="AV158" s="37">
        <v>0</v>
      </c>
      <c r="AW158" s="37">
        <v>0</v>
      </c>
      <c r="AX158" s="37">
        <v>0</v>
      </c>
      <c r="AY158" s="37">
        <v>0</v>
      </c>
      <c r="AZ158" s="37">
        <v>0</v>
      </c>
      <c r="BA158" s="37">
        <v>0</v>
      </c>
      <c r="BB158" s="37">
        <v>0</v>
      </c>
      <c r="BC158" s="37">
        <v>0</v>
      </c>
      <c r="BD158" s="37">
        <v>0</v>
      </c>
      <c r="BE158" s="37">
        <v>0</v>
      </c>
      <c r="BF158" s="37">
        <v>0</v>
      </c>
      <c r="BG158" s="37">
        <v>0</v>
      </c>
      <c r="BH158" s="37">
        <v>0</v>
      </c>
      <c r="BI158" s="37">
        <v>0</v>
      </c>
      <c r="BJ158" s="37">
        <v>0</v>
      </c>
      <c r="BK158" s="37">
        <v>0</v>
      </c>
      <c r="BL158" s="37">
        <v>0</v>
      </c>
      <c r="BM158" s="37">
        <v>0</v>
      </c>
      <c r="BN158" s="37">
        <v>0</v>
      </c>
      <c r="BO158" s="37">
        <v>0</v>
      </c>
      <c r="BP158" s="37">
        <v>0</v>
      </c>
      <c r="BQ158" s="37">
        <v>0</v>
      </c>
      <c r="BR158" s="37">
        <v>0</v>
      </c>
      <c r="BS158" s="43">
        <v>13024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44">
        <f t="shared" si="18"/>
        <v>13024</v>
      </c>
    </row>
    <row r="159" spans="1:79" x14ac:dyDescent="0.25">
      <c r="A159" s="52" t="s">
        <v>382</v>
      </c>
      <c r="B159" s="52" t="s">
        <v>383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44">
        <v>0</v>
      </c>
      <c r="AN159" s="37">
        <v>0</v>
      </c>
      <c r="AO159" s="37">
        <v>0</v>
      </c>
      <c r="AP159" s="37">
        <v>0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0</v>
      </c>
      <c r="BF159" s="37">
        <v>0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0</v>
      </c>
      <c r="BQ159" s="37">
        <v>0</v>
      </c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44">
        <f t="shared" si="18"/>
        <v>0</v>
      </c>
    </row>
    <row r="160" spans="1:79" x14ac:dyDescent="0.25">
      <c r="A160" s="52" t="s">
        <v>384</v>
      </c>
      <c r="B160" s="52" t="s">
        <v>385</v>
      </c>
      <c r="C160" s="37">
        <v>0</v>
      </c>
      <c r="D160" s="43">
        <v>96796</v>
      </c>
      <c r="E160" s="37">
        <v>0</v>
      </c>
      <c r="F160" s="37">
        <v>0</v>
      </c>
      <c r="G160" s="43">
        <v>134456</v>
      </c>
      <c r="H160" s="37">
        <v>0</v>
      </c>
      <c r="I160" s="37">
        <v>0</v>
      </c>
      <c r="J160" s="43">
        <v>131575</v>
      </c>
      <c r="K160" s="37">
        <v>0</v>
      </c>
      <c r="L160" s="37">
        <v>0</v>
      </c>
      <c r="M160" s="37">
        <v>0</v>
      </c>
      <c r="N160" s="37">
        <v>0</v>
      </c>
      <c r="O160" s="43">
        <v>52350</v>
      </c>
      <c r="P160" s="37">
        <v>0</v>
      </c>
      <c r="Q160" s="43">
        <v>64248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43">
        <v>150000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43">
        <v>2692</v>
      </c>
      <c r="AI160" s="43">
        <v>202431</v>
      </c>
      <c r="AJ160" s="37">
        <v>0</v>
      </c>
      <c r="AK160" s="37">
        <v>0</v>
      </c>
      <c r="AL160" s="37">
        <v>0</v>
      </c>
      <c r="AM160" s="44">
        <v>0</v>
      </c>
      <c r="AN160" s="37">
        <v>0</v>
      </c>
      <c r="AO160" s="37">
        <v>0</v>
      </c>
      <c r="AP160" s="37">
        <v>0</v>
      </c>
      <c r="AQ160" s="43">
        <v>80941</v>
      </c>
      <c r="AR160" s="43">
        <v>425907</v>
      </c>
      <c r="AS160" s="37">
        <v>0</v>
      </c>
      <c r="AT160" s="37">
        <v>0</v>
      </c>
      <c r="AU160" s="37">
        <v>0</v>
      </c>
      <c r="AV160" s="37">
        <v>0</v>
      </c>
      <c r="AW160" s="37">
        <v>0</v>
      </c>
      <c r="AX160" s="37">
        <v>0</v>
      </c>
      <c r="AY160" s="43">
        <v>134065</v>
      </c>
      <c r="AZ160" s="37">
        <v>0</v>
      </c>
      <c r="BA160" s="37">
        <v>0</v>
      </c>
      <c r="BB160" s="43">
        <v>33095</v>
      </c>
      <c r="BC160" s="37">
        <v>0</v>
      </c>
      <c r="BD160" s="37">
        <v>0</v>
      </c>
      <c r="BE160" s="43">
        <v>115000</v>
      </c>
      <c r="BF160" s="37">
        <v>0</v>
      </c>
      <c r="BG160" s="37">
        <v>0</v>
      </c>
      <c r="BH160" s="43">
        <v>135230</v>
      </c>
      <c r="BI160" s="43">
        <v>4091</v>
      </c>
      <c r="BJ160" s="37">
        <v>0</v>
      </c>
      <c r="BK160" s="43">
        <v>283184</v>
      </c>
      <c r="BL160" s="37">
        <v>0</v>
      </c>
      <c r="BM160" s="37">
        <v>0</v>
      </c>
      <c r="BN160" s="37">
        <v>0</v>
      </c>
      <c r="BO160" s="43">
        <v>150000</v>
      </c>
      <c r="BP160" s="37">
        <v>0</v>
      </c>
      <c r="BQ160" s="37">
        <v>0</v>
      </c>
      <c r="BR160" s="37">
        <v>0</v>
      </c>
      <c r="BS160" s="43">
        <v>16477</v>
      </c>
      <c r="BT160" s="43">
        <v>114463</v>
      </c>
      <c r="BU160" s="37">
        <v>0</v>
      </c>
      <c r="BV160" s="37">
        <v>0</v>
      </c>
      <c r="BW160" s="37">
        <v>0</v>
      </c>
      <c r="BX160" s="37">
        <v>0</v>
      </c>
      <c r="BY160" s="43">
        <f>600000-300000</f>
        <v>300000</v>
      </c>
      <c r="BZ160" s="43">
        <f>183827-33827</f>
        <v>150000</v>
      </c>
      <c r="CA160" s="44">
        <f t="shared" si="18"/>
        <v>2777001</v>
      </c>
    </row>
    <row r="161" spans="1:79" x14ac:dyDescent="0.25">
      <c r="A161" s="52" t="s">
        <v>386</v>
      </c>
      <c r="B161" s="52" t="s">
        <v>387</v>
      </c>
      <c r="C161" s="43">
        <v>14263</v>
      </c>
      <c r="D161" s="43">
        <v>41808</v>
      </c>
      <c r="E161" s="43">
        <v>1809</v>
      </c>
      <c r="F161" s="43">
        <v>20470</v>
      </c>
      <c r="G161" s="43">
        <v>5077</v>
      </c>
      <c r="H161" s="43">
        <v>5443</v>
      </c>
      <c r="I161" s="43">
        <v>8936</v>
      </c>
      <c r="J161" s="43">
        <v>29802</v>
      </c>
      <c r="K161" s="43">
        <v>3880</v>
      </c>
      <c r="L161" s="43">
        <v>3422</v>
      </c>
      <c r="M161" s="37">
        <v>0</v>
      </c>
      <c r="N161" s="43">
        <f>39125-852</f>
        <v>38273</v>
      </c>
      <c r="O161" s="43">
        <v>60085</v>
      </c>
      <c r="P161" s="37">
        <v>0</v>
      </c>
      <c r="Q161" s="43">
        <v>95471</v>
      </c>
      <c r="R161" s="43">
        <v>15832</v>
      </c>
      <c r="S161" s="43">
        <v>5509</v>
      </c>
      <c r="T161" s="43">
        <v>4444</v>
      </c>
      <c r="U161" s="37">
        <v>0</v>
      </c>
      <c r="V161" s="37">
        <v>0</v>
      </c>
      <c r="W161" s="43">
        <v>15283</v>
      </c>
      <c r="X161" s="43">
        <v>2727</v>
      </c>
      <c r="Y161" s="43">
        <v>13076</v>
      </c>
      <c r="Z161" s="43">
        <v>32015</v>
      </c>
      <c r="AA161" s="43">
        <v>8787</v>
      </c>
      <c r="AB161" s="43">
        <v>5965</v>
      </c>
      <c r="AC161" s="43">
        <v>6033</v>
      </c>
      <c r="AD161" s="43">
        <v>23936</v>
      </c>
      <c r="AE161" s="43">
        <v>2375</v>
      </c>
      <c r="AF161" s="43">
        <v>7644</v>
      </c>
      <c r="AG161" s="43">
        <v>2574</v>
      </c>
      <c r="AH161" s="43">
        <v>17175</v>
      </c>
      <c r="AI161" s="43">
        <v>137563</v>
      </c>
      <c r="AJ161" s="43">
        <v>17721</v>
      </c>
      <c r="AK161" s="43">
        <v>1200</v>
      </c>
      <c r="AL161" s="37">
        <v>0</v>
      </c>
      <c r="AM161" s="44">
        <v>4356</v>
      </c>
      <c r="AN161" s="43">
        <v>101974</v>
      </c>
      <c r="AO161" s="37">
        <v>0</v>
      </c>
      <c r="AP161" s="43">
        <v>25601</v>
      </c>
      <c r="AQ161" s="43">
        <v>30804</v>
      </c>
      <c r="AR161" s="37">
        <v>0</v>
      </c>
      <c r="AS161" s="43">
        <v>4685</v>
      </c>
      <c r="AT161" s="43">
        <v>1846</v>
      </c>
      <c r="AU161" s="43">
        <v>100479</v>
      </c>
      <c r="AV161" s="43">
        <v>17608</v>
      </c>
      <c r="AW161" s="43">
        <v>4045</v>
      </c>
      <c r="AX161" s="43">
        <v>6467</v>
      </c>
      <c r="AY161" s="43">
        <v>50738</v>
      </c>
      <c r="AZ161" s="43">
        <v>2231</v>
      </c>
      <c r="BA161" s="43">
        <v>9274</v>
      </c>
      <c r="BB161" s="43">
        <v>3146</v>
      </c>
      <c r="BC161" s="43">
        <v>8667</v>
      </c>
      <c r="BD161" s="43">
        <v>20947</v>
      </c>
      <c r="BE161" s="43">
        <v>23718</v>
      </c>
      <c r="BF161" s="43">
        <v>33908</v>
      </c>
      <c r="BG161" s="43">
        <f>67201-321</f>
        <v>66880</v>
      </c>
      <c r="BH161" s="43">
        <v>36526</v>
      </c>
      <c r="BI161" s="37">
        <v>544</v>
      </c>
      <c r="BJ161" s="43">
        <v>8888</v>
      </c>
      <c r="BK161" s="43">
        <v>2641</v>
      </c>
      <c r="BL161" s="43">
        <v>10392</v>
      </c>
      <c r="BM161" s="43">
        <v>7701</v>
      </c>
      <c r="BN161" s="43">
        <v>11980</v>
      </c>
      <c r="BO161" s="43">
        <v>25481</v>
      </c>
      <c r="BP161" s="43">
        <v>14162</v>
      </c>
      <c r="BQ161" s="43">
        <v>31398</v>
      </c>
      <c r="BR161" s="43">
        <v>9321</v>
      </c>
      <c r="BS161" s="37">
        <v>0</v>
      </c>
      <c r="BT161" s="43">
        <v>9269</v>
      </c>
      <c r="BU161" s="37">
        <v>0</v>
      </c>
      <c r="BV161" s="43">
        <v>28747</v>
      </c>
      <c r="BW161" s="43">
        <v>39966</v>
      </c>
      <c r="BX161" s="43">
        <f>76062-136-2489-148-744-1025-2931-470-118-305-1923-2042-2818-304-6396-183-687-695-334-229-1991-422-1133-1099-1834-590-969-1250-3720-973</f>
        <v>38104</v>
      </c>
      <c r="BY161" s="43">
        <f>125521-76-567-1760-379-2771-1400-2052-1163-554-2416-2490-1576-1383-17115-33489-43-621-393-691</f>
        <v>54582</v>
      </c>
      <c r="BZ161" s="43">
        <f>7934-1234-2611</f>
        <v>4089</v>
      </c>
      <c r="CA161" s="44">
        <f t="shared" si="18"/>
        <v>1499763</v>
      </c>
    </row>
    <row r="162" spans="1:79" x14ac:dyDescent="0.25">
      <c r="A162" s="52" t="s">
        <v>388</v>
      </c>
      <c r="B162" s="52" t="s">
        <v>206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43">
        <v>2400000</v>
      </c>
      <c r="AJ162" s="37">
        <v>0</v>
      </c>
      <c r="AK162" s="37">
        <v>0</v>
      </c>
      <c r="AL162" s="37">
        <v>0</v>
      </c>
      <c r="AM162" s="44">
        <v>0</v>
      </c>
      <c r="AN162" s="37">
        <v>0</v>
      </c>
      <c r="AO162" s="37">
        <v>0</v>
      </c>
      <c r="AP162" s="37">
        <v>0</v>
      </c>
      <c r="AQ162" s="37">
        <v>0</v>
      </c>
      <c r="AR162" s="37">
        <v>0</v>
      </c>
      <c r="AS162" s="37">
        <v>0</v>
      </c>
      <c r="AT162" s="37">
        <v>0</v>
      </c>
      <c r="AU162" s="37">
        <v>0</v>
      </c>
      <c r="AV162" s="37">
        <v>0</v>
      </c>
      <c r="AW162" s="37">
        <v>0</v>
      </c>
      <c r="AX162" s="37">
        <v>0</v>
      </c>
      <c r="AY162" s="37">
        <v>0</v>
      </c>
      <c r="AZ162" s="37">
        <v>0</v>
      </c>
      <c r="BA162" s="37">
        <v>0</v>
      </c>
      <c r="BB162" s="37">
        <v>0</v>
      </c>
      <c r="BC162" s="37">
        <v>0</v>
      </c>
      <c r="BD162" s="37">
        <v>0</v>
      </c>
      <c r="BE162" s="37">
        <v>0</v>
      </c>
      <c r="BF162" s="37">
        <v>0</v>
      </c>
      <c r="BG162" s="37">
        <v>0</v>
      </c>
      <c r="BH162" s="37">
        <v>0</v>
      </c>
      <c r="BI162" s="37">
        <v>0</v>
      </c>
      <c r="BJ162" s="37">
        <v>0</v>
      </c>
      <c r="BK162" s="37">
        <v>0</v>
      </c>
      <c r="BL162" s="37">
        <v>0</v>
      </c>
      <c r="BM162" s="37">
        <v>0</v>
      </c>
      <c r="BN162" s="37">
        <v>0</v>
      </c>
      <c r="BO162" s="37">
        <v>0</v>
      </c>
      <c r="BP162" s="37">
        <v>0</v>
      </c>
      <c r="BQ162" s="37">
        <v>0</v>
      </c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44">
        <f t="shared" si="18"/>
        <v>2400000</v>
      </c>
    </row>
    <row r="163" spans="1:79" x14ac:dyDescent="0.25">
      <c r="A163" s="52" t="s">
        <v>389</v>
      </c>
      <c r="B163" s="52" t="s">
        <v>390</v>
      </c>
      <c r="C163" s="43">
        <v>124494</v>
      </c>
      <c r="D163" s="43">
        <v>685535</v>
      </c>
      <c r="E163" s="43">
        <v>34610</v>
      </c>
      <c r="F163" s="43">
        <v>433412</v>
      </c>
      <c r="G163" s="43">
        <v>109474</v>
      </c>
      <c r="H163" s="43">
        <v>110551</v>
      </c>
      <c r="I163" s="43">
        <v>119302</v>
      </c>
      <c r="J163" s="43">
        <v>558214</v>
      </c>
      <c r="K163" s="37">
        <v>0</v>
      </c>
      <c r="L163" s="37">
        <v>0</v>
      </c>
      <c r="M163" s="43">
        <v>79069</v>
      </c>
      <c r="N163" s="43">
        <v>787430</v>
      </c>
      <c r="O163" s="37">
        <v>0</v>
      </c>
      <c r="P163" s="43">
        <v>3060</v>
      </c>
      <c r="Q163" s="43">
        <f>2355457-2796</f>
        <v>2352661</v>
      </c>
      <c r="R163" s="43">
        <v>205746</v>
      </c>
      <c r="S163" s="43">
        <v>83876</v>
      </c>
      <c r="T163" s="43">
        <v>28402</v>
      </c>
      <c r="U163" s="37">
        <v>0</v>
      </c>
      <c r="V163" s="43">
        <v>217218</v>
      </c>
      <c r="W163" s="43">
        <v>412209</v>
      </c>
      <c r="X163" s="37">
        <v>0</v>
      </c>
      <c r="Y163" s="43">
        <v>40814</v>
      </c>
      <c r="Z163" s="43">
        <v>1107708</v>
      </c>
      <c r="AA163" s="43">
        <v>93743</v>
      </c>
      <c r="AB163" s="43">
        <v>136659</v>
      </c>
      <c r="AC163" s="43">
        <v>100179</v>
      </c>
      <c r="AD163" s="37">
        <v>0</v>
      </c>
      <c r="AE163" s="37">
        <v>0</v>
      </c>
      <c r="AF163" s="43">
        <v>59264</v>
      </c>
      <c r="AG163" s="37">
        <v>0</v>
      </c>
      <c r="AH163" s="43">
        <v>438523</v>
      </c>
      <c r="AI163" s="43">
        <v>77379</v>
      </c>
      <c r="AJ163" s="43">
        <v>444659</v>
      </c>
      <c r="AK163" s="43">
        <v>29686</v>
      </c>
      <c r="AL163" s="37">
        <v>0</v>
      </c>
      <c r="AM163" s="44">
        <v>64692</v>
      </c>
      <c r="AN163" s="43">
        <v>726483</v>
      </c>
      <c r="AO163" s="37">
        <v>0</v>
      </c>
      <c r="AP163" s="43">
        <v>72195</v>
      </c>
      <c r="AQ163" s="43">
        <v>153808</v>
      </c>
      <c r="AR163" s="37">
        <v>0</v>
      </c>
      <c r="AS163" s="43">
        <v>31580</v>
      </c>
      <c r="AT163" s="43">
        <v>6564</v>
      </c>
      <c r="AU163" s="43">
        <v>772478</v>
      </c>
      <c r="AV163" s="43">
        <v>344244</v>
      </c>
      <c r="AW163" s="43">
        <v>19117</v>
      </c>
      <c r="AX163" s="43">
        <v>142819</v>
      </c>
      <c r="AY163" s="43">
        <v>534271</v>
      </c>
      <c r="AZ163" s="37">
        <v>0</v>
      </c>
      <c r="BA163" s="37">
        <v>0</v>
      </c>
      <c r="BB163" s="37">
        <v>0</v>
      </c>
      <c r="BC163" s="43">
        <v>247447</v>
      </c>
      <c r="BD163" s="37">
        <v>0</v>
      </c>
      <c r="BE163" s="43">
        <v>1465536</v>
      </c>
      <c r="BF163" s="43">
        <v>473834</v>
      </c>
      <c r="BG163" s="43">
        <v>202725</v>
      </c>
      <c r="BH163" s="43">
        <v>439662</v>
      </c>
      <c r="BI163" s="43">
        <v>18637</v>
      </c>
      <c r="BJ163" s="37">
        <v>0</v>
      </c>
      <c r="BK163" s="43">
        <v>275651</v>
      </c>
      <c r="BL163" s="43">
        <v>87870</v>
      </c>
      <c r="BM163" s="37">
        <v>0</v>
      </c>
      <c r="BN163" s="43">
        <v>394647</v>
      </c>
      <c r="BO163" s="43">
        <v>34394</v>
      </c>
      <c r="BP163" s="43">
        <v>60118</v>
      </c>
      <c r="BQ163" s="43">
        <v>410883</v>
      </c>
      <c r="BR163" s="37">
        <v>0</v>
      </c>
      <c r="BS163" s="43">
        <v>160358</v>
      </c>
      <c r="BT163" s="43">
        <v>160726</v>
      </c>
      <c r="BU163" s="43">
        <v>1125410</v>
      </c>
      <c r="BV163" s="43">
        <v>224651</v>
      </c>
      <c r="BW163" s="43">
        <v>627868</v>
      </c>
      <c r="BX163" s="43">
        <f>38371-38060-311</f>
        <v>0</v>
      </c>
      <c r="BY163" s="43">
        <f>18015-18015</f>
        <v>0</v>
      </c>
      <c r="BZ163" s="43">
        <f>77668-77668</f>
        <v>0</v>
      </c>
      <c r="CA163" s="44">
        <f t="shared" si="18"/>
        <v>18152545</v>
      </c>
    </row>
    <row r="164" spans="1:79" x14ac:dyDescent="0.25">
      <c r="A164" s="52" t="s">
        <v>391</v>
      </c>
      <c r="B164" s="52" t="s">
        <v>392</v>
      </c>
      <c r="C164" s="37">
        <v>0</v>
      </c>
      <c r="D164" s="43">
        <v>1697</v>
      </c>
      <c r="E164" s="37">
        <v>999</v>
      </c>
      <c r="F164" s="37">
        <v>0</v>
      </c>
      <c r="G164" s="43">
        <v>1500</v>
      </c>
      <c r="H164" s="43">
        <v>47183</v>
      </c>
      <c r="I164" s="37">
        <v>0</v>
      </c>
      <c r="J164" s="43">
        <v>5268</v>
      </c>
      <c r="K164" s="43">
        <v>1000</v>
      </c>
      <c r="L164" s="43">
        <v>808316</v>
      </c>
      <c r="M164" s="37">
        <v>0</v>
      </c>
      <c r="N164" s="43">
        <v>62712</v>
      </c>
      <c r="O164" s="43">
        <v>15414</v>
      </c>
      <c r="P164" s="43">
        <v>69021</v>
      </c>
      <c r="Q164" s="43">
        <f>1279735-39748-1214094</f>
        <v>25893</v>
      </c>
      <c r="R164" s="43">
        <v>1500</v>
      </c>
      <c r="S164" s="43">
        <v>1500</v>
      </c>
      <c r="T164" s="43">
        <v>7135</v>
      </c>
      <c r="U164" s="37">
        <v>0</v>
      </c>
      <c r="V164" s="43">
        <v>1501</v>
      </c>
      <c r="W164" s="43">
        <v>1500</v>
      </c>
      <c r="X164" s="43">
        <v>1500</v>
      </c>
      <c r="Y164" s="43">
        <v>1983</v>
      </c>
      <c r="Z164" s="43">
        <v>326765</v>
      </c>
      <c r="AA164" s="37">
        <v>0</v>
      </c>
      <c r="AB164" s="37">
        <v>0</v>
      </c>
      <c r="AC164" s="43">
        <v>186986</v>
      </c>
      <c r="AD164" s="43">
        <v>11168</v>
      </c>
      <c r="AE164" s="43">
        <v>302670</v>
      </c>
      <c r="AF164" s="43">
        <v>93894</v>
      </c>
      <c r="AG164" s="43">
        <v>1500</v>
      </c>
      <c r="AH164" s="43">
        <v>60000</v>
      </c>
      <c r="AI164" s="43">
        <v>373471</v>
      </c>
      <c r="AJ164" s="43">
        <v>1503</v>
      </c>
      <c r="AK164" s="37">
        <v>0</v>
      </c>
      <c r="AL164" s="37">
        <v>0</v>
      </c>
      <c r="AM164" s="44">
        <v>1500</v>
      </c>
      <c r="AN164" s="37">
        <v>0</v>
      </c>
      <c r="AO164" s="37">
        <v>0</v>
      </c>
      <c r="AP164" s="37">
        <v>0</v>
      </c>
      <c r="AQ164" s="37">
        <v>0</v>
      </c>
      <c r="AR164" s="43">
        <v>51428</v>
      </c>
      <c r="AS164" s="37">
        <v>0</v>
      </c>
      <c r="AT164" s="37">
        <v>0</v>
      </c>
      <c r="AU164" s="43">
        <v>201277</v>
      </c>
      <c r="AV164" s="37">
        <v>913</v>
      </c>
      <c r="AW164" s="43">
        <v>13500</v>
      </c>
      <c r="AX164" s="43">
        <v>1500</v>
      </c>
      <c r="AY164" s="43">
        <v>16649</v>
      </c>
      <c r="AZ164" s="43">
        <v>13500</v>
      </c>
      <c r="BA164" s="43">
        <v>2500</v>
      </c>
      <c r="BB164" s="37">
        <v>0</v>
      </c>
      <c r="BC164" s="43">
        <v>15088</v>
      </c>
      <c r="BD164" s="37">
        <v>0</v>
      </c>
      <c r="BE164" s="43">
        <v>1500</v>
      </c>
      <c r="BF164" s="43">
        <v>1500</v>
      </c>
      <c r="BG164" s="37">
        <v>0</v>
      </c>
      <c r="BH164" s="43">
        <v>57630</v>
      </c>
      <c r="BI164" s="43">
        <v>50856</v>
      </c>
      <c r="BJ164" s="43">
        <v>1500</v>
      </c>
      <c r="BK164" s="43">
        <v>1500</v>
      </c>
      <c r="BL164" s="43">
        <v>14804</v>
      </c>
      <c r="BM164" s="43">
        <v>16097</v>
      </c>
      <c r="BN164" s="37">
        <v>0</v>
      </c>
      <c r="BO164" s="37">
        <v>0</v>
      </c>
      <c r="BP164" s="43">
        <v>1500</v>
      </c>
      <c r="BQ164" s="43">
        <v>1500</v>
      </c>
      <c r="BR164" s="43">
        <v>1500</v>
      </c>
      <c r="BS164" s="37">
        <v>0</v>
      </c>
      <c r="BT164" s="43">
        <v>1500</v>
      </c>
      <c r="BU164" s="43">
        <v>209957</v>
      </c>
      <c r="BV164" s="43">
        <v>119093</v>
      </c>
      <c r="BW164" s="43">
        <v>1500</v>
      </c>
      <c r="BX164" s="43">
        <f>421196-919-23438-10890-2067-18277-307667</f>
        <v>57938</v>
      </c>
      <c r="BY164" s="43">
        <f>101717-22660-8096</f>
        <v>70961</v>
      </c>
      <c r="BZ164" s="43">
        <v>1500</v>
      </c>
      <c r="CA164" s="44">
        <f t="shared" si="18"/>
        <v>3343770</v>
      </c>
    </row>
    <row r="165" spans="1:79" x14ac:dyDescent="0.25">
      <c r="A165" s="52" t="s">
        <v>393</v>
      </c>
      <c r="B165" s="52" t="s">
        <v>394</v>
      </c>
      <c r="AM165" s="44"/>
      <c r="CA165" s="44">
        <f t="shared" si="18"/>
        <v>0</v>
      </c>
    </row>
    <row r="166" spans="1:79" x14ac:dyDescent="0.25">
      <c r="A166" s="52" t="s">
        <v>395</v>
      </c>
      <c r="B166" s="52" t="s">
        <v>396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44">
        <v>0</v>
      </c>
      <c r="AN166" s="37">
        <v>0</v>
      </c>
      <c r="AO166" s="37">
        <v>0</v>
      </c>
      <c r="AP166" s="37">
        <v>0</v>
      </c>
      <c r="AQ166" s="37">
        <v>0</v>
      </c>
      <c r="AR166" s="37">
        <v>0</v>
      </c>
      <c r="AS166" s="37">
        <v>0</v>
      </c>
      <c r="AT166" s="37">
        <v>0</v>
      </c>
      <c r="AU166" s="37">
        <v>0</v>
      </c>
      <c r="AV166" s="37">
        <v>0</v>
      </c>
      <c r="AW166" s="37">
        <v>0</v>
      </c>
      <c r="AX166" s="37">
        <v>0</v>
      </c>
      <c r="AY166" s="37">
        <v>0</v>
      </c>
      <c r="AZ166" s="37">
        <v>0</v>
      </c>
      <c r="BA166" s="37">
        <v>0</v>
      </c>
      <c r="BB166" s="37">
        <v>0</v>
      </c>
      <c r="BC166" s="37">
        <v>0</v>
      </c>
      <c r="BD166" s="37">
        <v>0</v>
      </c>
      <c r="BE166" s="37">
        <v>0</v>
      </c>
      <c r="BF166" s="37">
        <v>0</v>
      </c>
      <c r="BG166" s="37">
        <v>0</v>
      </c>
      <c r="BH166" s="37">
        <v>0</v>
      </c>
      <c r="BI166" s="37">
        <v>0</v>
      </c>
      <c r="BJ166" s="37">
        <v>0</v>
      </c>
      <c r="BK166" s="37">
        <v>0</v>
      </c>
      <c r="BL166" s="37">
        <v>0</v>
      </c>
      <c r="BM166" s="37">
        <v>0</v>
      </c>
      <c r="BN166" s="37">
        <v>0</v>
      </c>
      <c r="BO166" s="37">
        <v>0</v>
      </c>
      <c r="BP166" s="37">
        <v>0</v>
      </c>
      <c r="BQ166" s="37">
        <v>0</v>
      </c>
      <c r="BR166" s="37">
        <v>0</v>
      </c>
      <c r="BS166" s="37">
        <v>0</v>
      </c>
      <c r="BT166" s="37">
        <v>0</v>
      </c>
      <c r="BU166" s="37">
        <v>0</v>
      </c>
      <c r="BV166" s="37">
        <v>0</v>
      </c>
      <c r="BW166" s="37">
        <v>0</v>
      </c>
      <c r="BX166" s="37">
        <v>0</v>
      </c>
      <c r="BY166" s="37">
        <v>0</v>
      </c>
      <c r="BZ166" s="37">
        <v>0</v>
      </c>
      <c r="CA166" s="44">
        <f t="shared" si="18"/>
        <v>0</v>
      </c>
    </row>
    <row r="167" spans="1:79" x14ac:dyDescent="0.25">
      <c r="A167" s="52" t="s">
        <v>397</v>
      </c>
      <c r="B167" s="52" t="s">
        <v>398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37">
        <v>0</v>
      </c>
      <c r="AM167" s="44">
        <v>0</v>
      </c>
      <c r="AN167" s="37">
        <v>0</v>
      </c>
      <c r="AO167" s="37">
        <v>0</v>
      </c>
      <c r="AP167" s="37">
        <v>0</v>
      </c>
      <c r="AQ167" s="37">
        <v>0</v>
      </c>
      <c r="AR167" s="37">
        <v>0</v>
      </c>
      <c r="AS167" s="37">
        <v>0</v>
      </c>
      <c r="AT167" s="37">
        <v>0</v>
      </c>
      <c r="AU167" s="37">
        <v>0</v>
      </c>
      <c r="AV167" s="37">
        <v>0</v>
      </c>
      <c r="AW167" s="37">
        <v>0</v>
      </c>
      <c r="AX167" s="37">
        <v>0</v>
      </c>
      <c r="AY167" s="37">
        <v>0</v>
      </c>
      <c r="AZ167" s="37">
        <v>0</v>
      </c>
      <c r="BA167" s="37">
        <v>0</v>
      </c>
      <c r="BB167" s="37">
        <v>0</v>
      </c>
      <c r="BC167" s="37">
        <v>0</v>
      </c>
      <c r="BD167" s="37">
        <v>0</v>
      </c>
      <c r="BE167" s="37">
        <v>0</v>
      </c>
      <c r="BF167" s="37">
        <v>0</v>
      </c>
      <c r="BG167" s="37">
        <v>0</v>
      </c>
      <c r="BH167" s="37">
        <v>0</v>
      </c>
      <c r="BI167" s="37">
        <v>0</v>
      </c>
      <c r="BJ167" s="37">
        <v>0</v>
      </c>
      <c r="BK167" s="37">
        <v>0</v>
      </c>
      <c r="BL167" s="37">
        <v>0</v>
      </c>
      <c r="BM167" s="37">
        <v>0</v>
      </c>
      <c r="BN167" s="37">
        <v>0</v>
      </c>
      <c r="BO167" s="37">
        <v>0</v>
      </c>
      <c r="BP167" s="37">
        <v>0</v>
      </c>
      <c r="BQ167" s="37">
        <v>0</v>
      </c>
      <c r="BR167" s="37">
        <v>0</v>
      </c>
      <c r="BS167" s="37">
        <v>0</v>
      </c>
      <c r="BT167" s="37">
        <v>0</v>
      </c>
      <c r="BU167" s="37">
        <v>0</v>
      </c>
      <c r="BV167" s="37">
        <v>0</v>
      </c>
      <c r="BW167" s="37">
        <v>0</v>
      </c>
      <c r="BX167" s="37">
        <v>0</v>
      </c>
      <c r="BY167" s="37">
        <v>0</v>
      </c>
      <c r="BZ167" s="37">
        <v>0</v>
      </c>
      <c r="CA167" s="44">
        <f t="shared" si="18"/>
        <v>0</v>
      </c>
    </row>
    <row r="168" spans="1:79" x14ac:dyDescent="0.25">
      <c r="A168" s="52" t="s">
        <v>399</v>
      </c>
      <c r="B168" s="52" t="s">
        <v>400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43">
        <v>4454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44">
        <v>0</v>
      </c>
      <c r="AN168" s="37">
        <v>0</v>
      </c>
      <c r="AO168" s="37">
        <v>0</v>
      </c>
      <c r="AP168" s="37">
        <v>0</v>
      </c>
      <c r="AQ168" s="37">
        <v>0</v>
      </c>
      <c r="AR168" s="37">
        <v>0</v>
      </c>
      <c r="AS168" s="37">
        <v>0</v>
      </c>
      <c r="AT168" s="37">
        <v>0</v>
      </c>
      <c r="AU168" s="37">
        <v>0</v>
      </c>
      <c r="AV168" s="37">
        <v>0</v>
      </c>
      <c r="AW168" s="37">
        <v>0</v>
      </c>
      <c r="AX168" s="37">
        <v>0</v>
      </c>
      <c r="AY168" s="37">
        <v>0</v>
      </c>
      <c r="AZ168" s="37">
        <v>0</v>
      </c>
      <c r="BA168" s="37">
        <v>0</v>
      </c>
      <c r="BB168" s="37">
        <v>0</v>
      </c>
      <c r="BC168" s="37">
        <v>0</v>
      </c>
      <c r="BD168" s="37">
        <v>0</v>
      </c>
      <c r="BE168" s="37">
        <v>0</v>
      </c>
      <c r="BF168" s="37">
        <v>0</v>
      </c>
      <c r="BG168" s="37">
        <v>0</v>
      </c>
      <c r="BH168" s="37">
        <v>0</v>
      </c>
      <c r="BI168" s="37">
        <v>0</v>
      </c>
      <c r="BJ168" s="37">
        <v>0</v>
      </c>
      <c r="BK168" s="37">
        <v>0</v>
      </c>
      <c r="BL168" s="37">
        <v>0</v>
      </c>
      <c r="BM168" s="37">
        <v>0</v>
      </c>
      <c r="BN168" s="37">
        <v>0</v>
      </c>
      <c r="BO168" s="37">
        <v>0</v>
      </c>
      <c r="BP168" s="37">
        <v>0</v>
      </c>
      <c r="BQ168" s="37">
        <v>0</v>
      </c>
      <c r="BR168" s="37">
        <v>0</v>
      </c>
      <c r="BS168" s="37">
        <v>0</v>
      </c>
      <c r="BT168" s="37">
        <v>0</v>
      </c>
      <c r="BU168" s="37">
        <v>0</v>
      </c>
      <c r="BV168" s="37">
        <v>0</v>
      </c>
      <c r="BW168" s="37">
        <v>0</v>
      </c>
      <c r="BX168" s="37">
        <v>0</v>
      </c>
      <c r="BY168" s="37">
        <v>0</v>
      </c>
      <c r="BZ168" s="37">
        <v>0</v>
      </c>
      <c r="CA168" s="44">
        <f t="shared" si="18"/>
        <v>4454</v>
      </c>
    </row>
    <row r="169" spans="1:79" x14ac:dyDescent="0.25">
      <c r="A169" s="52" t="s">
        <v>401</v>
      </c>
      <c r="B169" s="52" t="s">
        <v>402</v>
      </c>
      <c r="C169" s="37">
        <v>0</v>
      </c>
      <c r="D169" s="37">
        <v>644</v>
      </c>
      <c r="E169" s="37">
        <v>0</v>
      </c>
      <c r="F169" s="37">
        <v>544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200</v>
      </c>
      <c r="O169" s="37">
        <v>0</v>
      </c>
      <c r="P169" s="37">
        <v>0</v>
      </c>
      <c r="Q169" s="43">
        <v>1294498</v>
      </c>
      <c r="R169" s="37">
        <v>0</v>
      </c>
      <c r="S169" s="37">
        <v>356</v>
      </c>
      <c r="T169" s="37">
        <v>0</v>
      </c>
      <c r="U169" s="37">
        <v>0</v>
      </c>
      <c r="V169" s="43">
        <v>5000</v>
      </c>
      <c r="W169" s="37">
        <v>0</v>
      </c>
      <c r="X169" s="37">
        <v>0</v>
      </c>
      <c r="Y169" s="37">
        <v>0</v>
      </c>
      <c r="Z169" s="37">
        <v>0</v>
      </c>
      <c r="AA169" s="37">
        <v>0</v>
      </c>
      <c r="AB169" s="37">
        <v>172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344</v>
      </c>
      <c r="AI169" s="43">
        <v>6420</v>
      </c>
      <c r="AJ169" s="37">
        <v>0</v>
      </c>
      <c r="AK169" s="37">
        <v>0</v>
      </c>
      <c r="AL169" s="37">
        <v>0</v>
      </c>
      <c r="AM169" s="44">
        <v>0</v>
      </c>
      <c r="AN169" s="43">
        <v>1200</v>
      </c>
      <c r="AO169" s="37">
        <v>0</v>
      </c>
      <c r="AP169" s="37">
        <v>192</v>
      </c>
      <c r="AQ169" s="43">
        <v>4301</v>
      </c>
      <c r="AR169" s="37">
        <v>0</v>
      </c>
      <c r="AS169" s="37">
        <v>0</v>
      </c>
      <c r="AT169" s="37">
        <v>0</v>
      </c>
      <c r="AU169" s="37">
        <v>270</v>
      </c>
      <c r="AV169" s="43">
        <v>1660</v>
      </c>
      <c r="AW169" s="37">
        <v>0</v>
      </c>
      <c r="AX169" s="37">
        <v>0</v>
      </c>
      <c r="AY169" s="37">
        <v>-244</v>
      </c>
      <c r="AZ169" s="37">
        <v>0</v>
      </c>
      <c r="BA169" s="37">
        <v>0</v>
      </c>
      <c r="BB169" s="37">
        <v>0</v>
      </c>
      <c r="BC169" s="43">
        <v>5328</v>
      </c>
      <c r="BD169" s="37">
        <v>0</v>
      </c>
      <c r="BE169" s="37">
        <v>0</v>
      </c>
      <c r="BF169" s="43">
        <v>13409</v>
      </c>
      <c r="BG169" s="37">
        <v>0</v>
      </c>
      <c r="BH169" s="37">
        <v>0</v>
      </c>
      <c r="BI169" s="37">
        <v>0</v>
      </c>
      <c r="BJ169" s="37">
        <v>0</v>
      </c>
      <c r="BK169" s="37">
        <v>0</v>
      </c>
      <c r="BL169" s="37">
        <v>0</v>
      </c>
      <c r="BM169" s="37">
        <v>0</v>
      </c>
      <c r="BN169" s="37">
        <v>0</v>
      </c>
      <c r="BO169" s="37">
        <v>0</v>
      </c>
      <c r="BP169" s="43">
        <v>7353</v>
      </c>
      <c r="BQ169" s="43">
        <v>5000</v>
      </c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44">
        <f t="shared" si="18"/>
        <v>1346647</v>
      </c>
    </row>
    <row r="170" spans="1:79" x14ac:dyDescent="0.25">
      <c r="A170" s="37" t="s">
        <v>403</v>
      </c>
      <c r="B170" s="37" t="s">
        <v>404</v>
      </c>
      <c r="AM170" s="44"/>
      <c r="CA170" s="44">
        <f t="shared" si="18"/>
        <v>0</v>
      </c>
    </row>
    <row r="171" spans="1:79" x14ac:dyDescent="0.25">
      <c r="A171" s="53" t="s">
        <v>405</v>
      </c>
      <c r="B171" s="53" t="s">
        <v>406</v>
      </c>
      <c r="C171" s="43">
        <v>1321955</v>
      </c>
      <c r="D171" s="43">
        <v>8147500</v>
      </c>
      <c r="E171" s="43">
        <v>413385</v>
      </c>
      <c r="F171" s="43">
        <v>1717987</v>
      </c>
      <c r="G171" s="43">
        <v>958028</v>
      </c>
      <c r="H171" s="43">
        <v>539881</v>
      </c>
      <c r="I171" s="43">
        <v>1045976</v>
      </c>
      <c r="J171" s="43">
        <v>3709056</v>
      </c>
      <c r="K171" s="43">
        <v>823997</v>
      </c>
      <c r="L171" s="43">
        <v>597820</v>
      </c>
      <c r="M171" s="43">
        <v>415717</v>
      </c>
      <c r="N171" s="43">
        <v>7036262</v>
      </c>
      <c r="O171" s="43">
        <v>7891272</v>
      </c>
      <c r="P171" s="43">
        <v>785314</v>
      </c>
      <c r="Q171" s="43">
        <v>16955781</v>
      </c>
      <c r="R171" s="43">
        <v>2992368</v>
      </c>
      <c r="S171" s="43">
        <v>2027221</v>
      </c>
      <c r="T171" s="43">
        <v>1858326</v>
      </c>
      <c r="U171" s="37">
        <v>0</v>
      </c>
      <c r="V171" s="43">
        <v>2098075</v>
      </c>
      <c r="W171" s="43">
        <v>3748257</v>
      </c>
      <c r="X171" s="43">
        <v>184116</v>
      </c>
      <c r="Y171" s="43">
        <v>667292</v>
      </c>
      <c r="Z171" s="43">
        <v>6165265</v>
      </c>
      <c r="AA171" s="43">
        <v>901632</v>
      </c>
      <c r="AB171" s="43">
        <v>1397731</v>
      </c>
      <c r="AC171" s="43">
        <v>1395634</v>
      </c>
      <c r="AD171" s="43">
        <v>4539487</v>
      </c>
      <c r="AE171" s="43">
        <v>290640</v>
      </c>
      <c r="AF171" s="43">
        <v>802083</v>
      </c>
      <c r="AG171" s="43">
        <v>276138</v>
      </c>
      <c r="AH171" s="43">
        <v>4615362</v>
      </c>
      <c r="AI171" s="43">
        <v>23410334</v>
      </c>
      <c r="AJ171" s="43">
        <v>3337524</v>
      </c>
      <c r="AK171" s="43">
        <v>338775</v>
      </c>
      <c r="AL171" s="43">
        <v>270144</v>
      </c>
      <c r="AM171" s="44">
        <v>1332528</v>
      </c>
      <c r="AN171" s="43">
        <v>11700436</v>
      </c>
      <c r="AO171" s="37">
        <v>0</v>
      </c>
      <c r="AP171" s="43">
        <v>3705358</v>
      </c>
      <c r="AQ171" s="43">
        <v>3724743</v>
      </c>
      <c r="AR171" s="43">
        <v>1824066</v>
      </c>
      <c r="AS171" s="43">
        <v>933593</v>
      </c>
      <c r="AT171" s="43">
        <v>770485</v>
      </c>
      <c r="AU171" s="43">
        <v>8055568</v>
      </c>
      <c r="AV171" s="43">
        <v>4999144</v>
      </c>
      <c r="AW171" s="43">
        <v>992749</v>
      </c>
      <c r="AX171" s="43">
        <v>913225</v>
      </c>
      <c r="AY171" s="43">
        <v>10580071</v>
      </c>
      <c r="AZ171" s="43">
        <v>404119</v>
      </c>
      <c r="BA171" s="43">
        <v>1866170</v>
      </c>
      <c r="BB171" s="43">
        <v>990059</v>
      </c>
      <c r="BC171" s="43">
        <v>2148612</v>
      </c>
      <c r="BD171" s="43">
        <v>3948128</v>
      </c>
      <c r="BE171" s="43">
        <v>6937940</v>
      </c>
      <c r="BF171" s="43">
        <v>5897452</v>
      </c>
      <c r="BG171" s="43">
        <v>13184416</v>
      </c>
      <c r="BH171" s="43">
        <v>8759333</v>
      </c>
      <c r="BI171" s="43">
        <v>832712</v>
      </c>
      <c r="BJ171" s="43">
        <v>2081756</v>
      </c>
      <c r="BK171" s="43">
        <v>3198243</v>
      </c>
      <c r="BL171" s="43">
        <v>1091770</v>
      </c>
      <c r="BM171" s="43">
        <v>892411</v>
      </c>
      <c r="BN171" s="43">
        <v>1681807</v>
      </c>
      <c r="BO171" s="43">
        <v>3175730</v>
      </c>
      <c r="BP171" s="43">
        <v>5067433</v>
      </c>
      <c r="BQ171" s="43">
        <v>4260602</v>
      </c>
      <c r="BR171" s="43">
        <v>1564231</v>
      </c>
      <c r="BS171" s="43">
        <v>1366370</v>
      </c>
      <c r="BT171" s="43">
        <v>1805466</v>
      </c>
      <c r="BU171" s="43">
        <v>13112926</v>
      </c>
      <c r="BV171" s="43">
        <v>5991204</v>
      </c>
      <c r="BW171" s="43">
        <v>2081523</v>
      </c>
      <c r="BX171" s="37">
        <v>0</v>
      </c>
      <c r="BY171" s="37">
        <v>0</v>
      </c>
      <c r="BZ171" s="37">
        <v>0</v>
      </c>
      <c r="CA171" s="44">
        <f t="shared" si="18"/>
        <v>255548714</v>
      </c>
    </row>
    <row r="172" spans="1:79" x14ac:dyDescent="0.25">
      <c r="A172" s="53" t="s">
        <v>407</v>
      </c>
      <c r="B172" s="53" t="s">
        <v>408</v>
      </c>
      <c r="C172" s="43">
        <v>966301</v>
      </c>
      <c r="D172" s="43">
        <v>2659778</v>
      </c>
      <c r="E172" s="43">
        <v>362909</v>
      </c>
      <c r="F172" s="43">
        <v>1015175</v>
      </c>
      <c r="G172" s="43">
        <v>757720</v>
      </c>
      <c r="H172" s="43">
        <v>424220</v>
      </c>
      <c r="I172" s="43">
        <v>656433</v>
      </c>
      <c r="J172" s="43">
        <v>2027928</v>
      </c>
      <c r="K172" s="43">
        <v>785080</v>
      </c>
      <c r="L172" s="43">
        <v>360954</v>
      </c>
      <c r="M172" s="43">
        <v>284335</v>
      </c>
      <c r="N172" s="43">
        <v>3443209</v>
      </c>
      <c r="O172" s="43">
        <v>3777137</v>
      </c>
      <c r="P172" s="43">
        <v>310250</v>
      </c>
      <c r="Q172" s="43">
        <v>5084703</v>
      </c>
      <c r="R172" s="43">
        <v>1614169</v>
      </c>
      <c r="S172" s="43">
        <v>1299823</v>
      </c>
      <c r="T172" s="43">
        <v>1097314</v>
      </c>
      <c r="U172" s="37">
        <v>0</v>
      </c>
      <c r="V172" s="43">
        <v>1076891</v>
      </c>
      <c r="W172" s="43">
        <v>1828880</v>
      </c>
      <c r="X172" s="43">
        <v>112171</v>
      </c>
      <c r="Y172" s="43">
        <v>313839</v>
      </c>
      <c r="Z172" s="43">
        <v>2447759</v>
      </c>
      <c r="AA172" s="43">
        <v>699567</v>
      </c>
      <c r="AB172" s="43">
        <v>739561</v>
      </c>
      <c r="AC172" s="43">
        <v>729713</v>
      </c>
      <c r="AD172" s="43">
        <v>2350739</v>
      </c>
      <c r="AE172" s="43">
        <v>196645</v>
      </c>
      <c r="AF172" s="43">
        <v>461081</v>
      </c>
      <c r="AG172" s="43">
        <v>157720</v>
      </c>
      <c r="AH172" s="43">
        <v>1390090</v>
      </c>
      <c r="AI172" s="43">
        <v>10035035</v>
      </c>
      <c r="AJ172" s="43">
        <v>1966388</v>
      </c>
      <c r="AK172" s="43">
        <v>149041</v>
      </c>
      <c r="AL172" s="43">
        <v>349554</v>
      </c>
      <c r="AM172" s="44">
        <v>832262</v>
      </c>
      <c r="AN172" s="43">
        <v>4791886</v>
      </c>
      <c r="AO172" s="37">
        <v>0</v>
      </c>
      <c r="AP172" s="43">
        <v>1915391</v>
      </c>
      <c r="AQ172" s="43">
        <v>2666438</v>
      </c>
      <c r="AR172" s="43">
        <v>804637</v>
      </c>
      <c r="AS172" s="43">
        <v>737682</v>
      </c>
      <c r="AT172" s="43">
        <v>386474</v>
      </c>
      <c r="AU172" s="43">
        <v>4191791</v>
      </c>
      <c r="AV172" s="43">
        <v>2155715</v>
      </c>
      <c r="AW172" s="43">
        <v>802305</v>
      </c>
      <c r="AX172" s="43">
        <v>565717</v>
      </c>
      <c r="AY172" s="43">
        <v>3139102</v>
      </c>
      <c r="AZ172" s="43">
        <v>367969</v>
      </c>
      <c r="BA172" s="43">
        <v>748244</v>
      </c>
      <c r="BB172" s="43">
        <v>708484</v>
      </c>
      <c r="BC172" s="43">
        <v>1622989</v>
      </c>
      <c r="BD172" s="43">
        <v>2178299</v>
      </c>
      <c r="BE172" s="43">
        <v>2826331</v>
      </c>
      <c r="BF172" s="43">
        <v>3003489</v>
      </c>
      <c r="BG172" s="43">
        <v>4701651</v>
      </c>
      <c r="BH172" s="43">
        <v>1894248</v>
      </c>
      <c r="BI172" s="43">
        <v>417189</v>
      </c>
      <c r="BJ172" s="43">
        <v>1633836</v>
      </c>
      <c r="BK172" s="43">
        <v>1713123</v>
      </c>
      <c r="BL172" s="43">
        <v>767410</v>
      </c>
      <c r="BM172" s="43">
        <v>498850</v>
      </c>
      <c r="BN172" s="43">
        <v>1242955</v>
      </c>
      <c r="BO172" s="43">
        <v>1686501</v>
      </c>
      <c r="BP172" s="43">
        <v>2311343</v>
      </c>
      <c r="BQ172" s="43">
        <v>2478108</v>
      </c>
      <c r="BR172" s="43">
        <v>1177960</v>
      </c>
      <c r="BS172" s="43">
        <v>874777</v>
      </c>
      <c r="BT172" s="43">
        <v>1101222</v>
      </c>
      <c r="BU172" s="43">
        <v>718797</v>
      </c>
      <c r="BV172" s="43">
        <v>2696497</v>
      </c>
      <c r="BW172" s="43">
        <v>1252257</v>
      </c>
      <c r="BX172" s="37">
        <v>0</v>
      </c>
      <c r="BY172" s="37">
        <v>0</v>
      </c>
      <c r="BZ172" s="37">
        <v>0</v>
      </c>
      <c r="CA172" s="44">
        <f t="shared" si="18"/>
        <v>113544041</v>
      </c>
    </row>
    <row r="173" spans="1:79" x14ac:dyDescent="0.25">
      <c r="A173" s="53" t="s">
        <v>409</v>
      </c>
      <c r="B173" s="53" t="s">
        <v>410</v>
      </c>
      <c r="C173" s="43">
        <v>2503946</v>
      </c>
      <c r="D173" s="43">
        <v>24660338</v>
      </c>
      <c r="E173" s="43">
        <v>2500000</v>
      </c>
      <c r="F173" s="43">
        <v>8106785</v>
      </c>
      <c r="G173" s="43">
        <v>2852351</v>
      </c>
      <c r="H173" s="43">
        <v>1786074</v>
      </c>
      <c r="I173" s="43">
        <v>3824005</v>
      </c>
      <c r="J173" s="43">
        <v>12952934</v>
      </c>
      <c r="K173" s="43">
        <v>1840340</v>
      </c>
      <c r="L173" s="43">
        <v>1769879</v>
      </c>
      <c r="M173" s="43">
        <v>1120429</v>
      </c>
      <c r="N173" s="43">
        <v>49649912</v>
      </c>
      <c r="O173" s="43">
        <v>36687075</v>
      </c>
      <c r="P173" s="43">
        <v>2500000</v>
      </c>
      <c r="Q173" s="43">
        <v>81190316</v>
      </c>
      <c r="R173" s="43">
        <v>7871459</v>
      </c>
      <c r="S173" s="43">
        <v>4367126</v>
      </c>
      <c r="T173" s="43">
        <v>5514766</v>
      </c>
      <c r="U173" s="37">
        <v>0</v>
      </c>
      <c r="V173" s="43">
        <v>3943495</v>
      </c>
      <c r="W173" s="43">
        <v>6755384</v>
      </c>
      <c r="X173" s="43">
        <v>813699</v>
      </c>
      <c r="Y173" s="43">
        <v>3099620</v>
      </c>
      <c r="Z173" s="43">
        <v>30749088</v>
      </c>
      <c r="AA173" s="43">
        <v>2700765</v>
      </c>
      <c r="AB173" s="43">
        <v>4076067</v>
      </c>
      <c r="AC173" s="43">
        <v>3478517</v>
      </c>
      <c r="AD173" s="43">
        <v>20004162</v>
      </c>
      <c r="AE173" s="43">
        <v>978097</v>
      </c>
      <c r="AF173" s="43">
        <v>2717711</v>
      </c>
      <c r="AG173" s="43">
        <v>1121428</v>
      </c>
      <c r="AH173" s="43">
        <v>12599200</v>
      </c>
      <c r="AI173" s="43">
        <v>80819117</v>
      </c>
      <c r="AJ173" s="43">
        <v>9181739</v>
      </c>
      <c r="AK173" s="43">
        <v>846859</v>
      </c>
      <c r="AL173" s="43">
        <v>1947161</v>
      </c>
      <c r="AM173" s="44">
        <v>2250000</v>
      </c>
      <c r="AN173" s="43">
        <v>46439243</v>
      </c>
      <c r="AO173" s="37">
        <v>0</v>
      </c>
      <c r="AP173" s="43">
        <v>11323180</v>
      </c>
      <c r="AQ173" s="43">
        <v>12402615</v>
      </c>
      <c r="AR173" s="43">
        <v>4919321</v>
      </c>
      <c r="AS173" s="43">
        <v>2447872</v>
      </c>
      <c r="AT173" s="43">
        <v>1452414</v>
      </c>
      <c r="AU173" s="43">
        <v>43126912</v>
      </c>
      <c r="AV173" s="43">
        <v>7801965</v>
      </c>
      <c r="AW173" s="43">
        <v>2759874</v>
      </c>
      <c r="AX173" s="43">
        <v>3200880</v>
      </c>
      <c r="AY173" s="43">
        <v>34313126</v>
      </c>
      <c r="AZ173" s="43">
        <v>2500000</v>
      </c>
      <c r="BA173" s="43">
        <v>3834699</v>
      </c>
      <c r="BB173" s="43">
        <v>2855567</v>
      </c>
      <c r="BC173" s="43">
        <v>7016077</v>
      </c>
      <c r="BD173" s="43">
        <v>14081626</v>
      </c>
      <c r="BE173" s="43">
        <v>11003071</v>
      </c>
      <c r="BF173" s="43">
        <v>16523144</v>
      </c>
      <c r="BG173" s="37">
        <v>0</v>
      </c>
      <c r="BH173" s="43">
        <v>40672829</v>
      </c>
      <c r="BI173" s="43">
        <v>1677285</v>
      </c>
      <c r="BJ173" s="43">
        <v>8428850</v>
      </c>
      <c r="BK173" s="43">
        <v>13602981</v>
      </c>
      <c r="BL173" s="43">
        <v>2728389</v>
      </c>
      <c r="BM173" s="43">
        <v>2684467</v>
      </c>
      <c r="BN173" s="43">
        <v>11793442</v>
      </c>
      <c r="BO173" s="43">
        <v>12934177</v>
      </c>
      <c r="BP173" s="43">
        <v>8964331</v>
      </c>
      <c r="BQ173" s="43">
        <v>16011487</v>
      </c>
      <c r="BR173" s="43">
        <v>2500000</v>
      </c>
      <c r="BS173" s="37">
        <v>0</v>
      </c>
      <c r="BT173" s="43">
        <v>6268691</v>
      </c>
      <c r="BU173" s="37">
        <v>0</v>
      </c>
      <c r="BV173" s="43">
        <v>21873306</v>
      </c>
      <c r="BW173" s="43">
        <v>19888395</v>
      </c>
      <c r="BX173" s="37">
        <v>0</v>
      </c>
      <c r="BY173" s="37">
        <v>0</v>
      </c>
      <c r="BZ173" s="37">
        <v>0</v>
      </c>
      <c r="CA173" s="44">
        <f t="shared" si="18"/>
        <v>837810060</v>
      </c>
    </row>
    <row r="174" spans="1:79" x14ac:dyDescent="0.25">
      <c r="A174" s="53" t="s">
        <v>411</v>
      </c>
      <c r="B174" s="53" t="s">
        <v>412</v>
      </c>
      <c r="C174" s="37">
        <v>0</v>
      </c>
      <c r="D174" s="43">
        <v>24263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43">
        <v>659660</v>
      </c>
      <c r="L174" s="37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0</v>
      </c>
      <c r="AL174" s="37">
        <v>0</v>
      </c>
      <c r="AM174" s="44">
        <v>0</v>
      </c>
      <c r="AN174" s="37">
        <v>0</v>
      </c>
      <c r="AO174" s="37">
        <v>0</v>
      </c>
      <c r="AP174" s="37">
        <v>0</v>
      </c>
      <c r="AQ174" s="37">
        <v>0</v>
      </c>
      <c r="AR174" s="37">
        <v>0</v>
      </c>
      <c r="AS174" s="37">
        <v>0</v>
      </c>
      <c r="AT174" s="43">
        <v>1047586</v>
      </c>
      <c r="AU174" s="37">
        <v>0</v>
      </c>
      <c r="AV174" s="37">
        <v>0</v>
      </c>
      <c r="AW174" s="43">
        <v>28698</v>
      </c>
      <c r="AX174" s="37">
        <v>0</v>
      </c>
      <c r="AY174" s="37">
        <v>0</v>
      </c>
      <c r="AZ174" s="37">
        <v>0</v>
      </c>
      <c r="BA174" s="37">
        <v>0</v>
      </c>
      <c r="BB174" s="37">
        <v>0</v>
      </c>
      <c r="BC174" s="37">
        <v>0</v>
      </c>
      <c r="BD174" s="37">
        <v>0</v>
      </c>
      <c r="BE174" s="37">
        <v>0</v>
      </c>
      <c r="BF174" s="37">
        <v>0</v>
      </c>
      <c r="BG174" s="37">
        <v>0</v>
      </c>
      <c r="BH174" s="37">
        <v>0</v>
      </c>
      <c r="BI174" s="43">
        <v>315290</v>
      </c>
      <c r="BJ174" s="37">
        <v>0</v>
      </c>
      <c r="BK174" s="37">
        <v>0</v>
      </c>
      <c r="BL174" s="37">
        <v>0</v>
      </c>
      <c r="BM174" s="37">
        <v>0</v>
      </c>
      <c r="BN174" s="37">
        <v>0</v>
      </c>
      <c r="BO174" s="37">
        <v>0</v>
      </c>
      <c r="BP174" s="37">
        <v>0</v>
      </c>
      <c r="BQ174" s="37">
        <v>0</v>
      </c>
      <c r="BR174" s="37">
        <v>0</v>
      </c>
      <c r="BS174" s="43">
        <v>2500000</v>
      </c>
      <c r="BT174" s="37">
        <v>0</v>
      </c>
      <c r="BU174" s="37">
        <v>0</v>
      </c>
      <c r="BV174" s="37">
        <v>0</v>
      </c>
      <c r="BW174" s="37">
        <v>0</v>
      </c>
      <c r="BX174" s="37">
        <v>0</v>
      </c>
      <c r="BY174" s="37">
        <v>0</v>
      </c>
      <c r="BZ174" s="37">
        <v>0</v>
      </c>
      <c r="CA174" s="44">
        <f t="shared" si="18"/>
        <v>4575497</v>
      </c>
    </row>
    <row r="175" spans="1:79" x14ac:dyDescent="0.25">
      <c r="A175" s="53" t="s">
        <v>413</v>
      </c>
      <c r="B175" s="53" t="s">
        <v>414</v>
      </c>
      <c r="C175" s="43">
        <v>296099</v>
      </c>
      <c r="D175" s="37">
        <v>0</v>
      </c>
      <c r="E175" s="43">
        <v>19686</v>
      </c>
      <c r="F175" s="43">
        <v>58160</v>
      </c>
      <c r="G175" s="43">
        <v>66073</v>
      </c>
      <c r="H175" s="43">
        <v>8377</v>
      </c>
      <c r="I175" s="43">
        <v>28731</v>
      </c>
      <c r="J175" s="43">
        <v>366910</v>
      </c>
      <c r="K175" s="43">
        <v>56980</v>
      </c>
      <c r="L175" s="43">
        <v>47698</v>
      </c>
      <c r="M175" s="43">
        <v>14012</v>
      </c>
      <c r="N175" s="43">
        <v>418517</v>
      </c>
      <c r="O175" s="43">
        <v>245968</v>
      </c>
      <c r="P175" s="43">
        <v>24211</v>
      </c>
      <c r="Q175" s="43">
        <v>2408100</v>
      </c>
      <c r="R175" s="43">
        <v>203448</v>
      </c>
      <c r="S175" s="43">
        <v>129377</v>
      </c>
      <c r="T175" s="43">
        <v>113390</v>
      </c>
      <c r="U175" s="37">
        <v>0</v>
      </c>
      <c r="V175" s="43">
        <v>154242</v>
      </c>
      <c r="W175" s="43">
        <v>330263</v>
      </c>
      <c r="X175" s="43">
        <v>20823</v>
      </c>
      <c r="Y175" s="43">
        <v>60665</v>
      </c>
      <c r="Z175" s="43">
        <v>247186</v>
      </c>
      <c r="AA175" s="43">
        <v>54802</v>
      </c>
      <c r="AB175" s="43">
        <v>56168</v>
      </c>
      <c r="AC175" s="43">
        <v>42310</v>
      </c>
      <c r="AD175" s="43">
        <v>345834</v>
      </c>
      <c r="AE175" s="43">
        <v>9789</v>
      </c>
      <c r="AF175" s="43">
        <v>140265</v>
      </c>
      <c r="AG175" s="43">
        <v>11339</v>
      </c>
      <c r="AH175" s="43">
        <v>267627</v>
      </c>
      <c r="AI175" s="43">
        <v>2851173</v>
      </c>
      <c r="AJ175" s="43">
        <v>218721</v>
      </c>
      <c r="AK175" s="43">
        <v>10840</v>
      </c>
      <c r="AL175" s="43">
        <v>18509</v>
      </c>
      <c r="AM175" s="44">
        <v>114376</v>
      </c>
      <c r="AN175" s="43">
        <v>867157</v>
      </c>
      <c r="AO175" s="37">
        <v>0</v>
      </c>
      <c r="AP175" s="43">
        <v>175405</v>
      </c>
      <c r="AQ175" s="43">
        <v>198383</v>
      </c>
      <c r="AR175" s="43">
        <v>100918</v>
      </c>
      <c r="AS175" s="43">
        <v>74053</v>
      </c>
      <c r="AT175" s="37">
        <v>0</v>
      </c>
      <c r="AU175" s="43">
        <v>326649</v>
      </c>
      <c r="AV175" s="43">
        <v>670297</v>
      </c>
      <c r="AW175" s="43">
        <v>88912</v>
      </c>
      <c r="AX175" s="43">
        <v>10877</v>
      </c>
      <c r="AY175" s="43">
        <v>285273</v>
      </c>
      <c r="AZ175" s="43">
        <v>8870</v>
      </c>
      <c r="BA175" s="43">
        <v>125462</v>
      </c>
      <c r="BB175" s="43">
        <v>138502</v>
      </c>
      <c r="BC175" s="43">
        <v>168635</v>
      </c>
      <c r="BD175" s="43">
        <v>126998</v>
      </c>
      <c r="BE175" s="43">
        <v>814056</v>
      </c>
      <c r="BF175" s="43">
        <v>345878</v>
      </c>
      <c r="BG175" s="43">
        <v>2186865</v>
      </c>
      <c r="BH175" s="43">
        <v>378141</v>
      </c>
      <c r="BI175" s="43">
        <v>25888</v>
      </c>
      <c r="BJ175" s="43">
        <v>64556</v>
      </c>
      <c r="BK175" s="43">
        <v>94079</v>
      </c>
      <c r="BL175" s="43">
        <v>65610</v>
      </c>
      <c r="BM175" s="43">
        <v>42829</v>
      </c>
      <c r="BN175" s="43">
        <v>89177</v>
      </c>
      <c r="BO175" s="43">
        <v>652335</v>
      </c>
      <c r="BP175" s="43">
        <v>1157534</v>
      </c>
      <c r="BQ175" s="43">
        <v>564144</v>
      </c>
      <c r="BR175" s="43">
        <v>119642</v>
      </c>
      <c r="BS175" s="43">
        <v>95087</v>
      </c>
      <c r="BT175" s="43">
        <v>69385</v>
      </c>
      <c r="BU175" s="43">
        <v>24408</v>
      </c>
      <c r="BV175" s="43">
        <v>329215</v>
      </c>
      <c r="BW175" s="43">
        <v>195258</v>
      </c>
      <c r="BX175" s="37">
        <v>0</v>
      </c>
      <c r="BY175" s="37">
        <v>0</v>
      </c>
      <c r="BZ175" s="37">
        <v>0</v>
      </c>
      <c r="CA175" s="44">
        <f t="shared" si="18"/>
        <v>20141147</v>
      </c>
    </row>
    <row r="176" spans="1:79" x14ac:dyDescent="0.25">
      <c r="A176" s="53" t="s">
        <v>415</v>
      </c>
      <c r="B176" s="53" t="s">
        <v>416</v>
      </c>
      <c r="C176" s="43">
        <v>161895</v>
      </c>
      <c r="D176" s="37">
        <v>0</v>
      </c>
      <c r="E176" s="43">
        <v>976442</v>
      </c>
      <c r="F176" s="43">
        <v>1022742</v>
      </c>
      <c r="G176" s="43">
        <v>482214</v>
      </c>
      <c r="H176" s="43">
        <v>689169</v>
      </c>
      <c r="I176" s="43">
        <v>1445546</v>
      </c>
      <c r="J176" s="43">
        <v>2223606</v>
      </c>
      <c r="K176" s="43">
        <v>208691</v>
      </c>
      <c r="L176" s="43">
        <v>117686</v>
      </c>
      <c r="M176" s="43">
        <v>96369</v>
      </c>
      <c r="N176" s="37">
        <v>0</v>
      </c>
      <c r="O176" s="43">
        <v>5629021</v>
      </c>
      <c r="P176" s="43">
        <v>1161539</v>
      </c>
      <c r="Q176" s="43">
        <v>4590386</v>
      </c>
      <c r="R176" s="37">
        <v>0</v>
      </c>
      <c r="S176" s="43">
        <v>2850814</v>
      </c>
      <c r="T176" s="43">
        <v>3327036</v>
      </c>
      <c r="U176" s="37">
        <v>0</v>
      </c>
      <c r="V176" s="43">
        <v>395863</v>
      </c>
      <c r="W176" s="43">
        <v>3639146</v>
      </c>
      <c r="X176" s="43">
        <v>86012</v>
      </c>
      <c r="Y176" s="43">
        <v>240650</v>
      </c>
      <c r="Z176" s="43">
        <v>2186178</v>
      </c>
      <c r="AA176" s="43">
        <v>2212439</v>
      </c>
      <c r="AB176" s="43">
        <v>907092</v>
      </c>
      <c r="AC176" s="43">
        <v>521800</v>
      </c>
      <c r="AD176" s="43">
        <v>2845497</v>
      </c>
      <c r="AE176" s="43">
        <v>13271</v>
      </c>
      <c r="AF176" s="43">
        <v>1595679</v>
      </c>
      <c r="AG176" s="43">
        <v>75511</v>
      </c>
      <c r="AH176" s="43">
        <v>2145968</v>
      </c>
      <c r="AI176" s="43">
        <v>5909553</v>
      </c>
      <c r="AJ176" s="43">
        <v>1931873</v>
      </c>
      <c r="AK176" s="43">
        <v>111136</v>
      </c>
      <c r="AL176" s="43">
        <v>1403907</v>
      </c>
      <c r="AM176" s="44">
        <v>423836</v>
      </c>
      <c r="AN176" s="43">
        <v>286569</v>
      </c>
      <c r="AO176" s="37">
        <v>0</v>
      </c>
      <c r="AP176" s="43">
        <v>2334428</v>
      </c>
      <c r="AQ176" s="43">
        <v>1599675</v>
      </c>
      <c r="AR176" s="37">
        <v>0</v>
      </c>
      <c r="AS176" s="37">
        <v>0</v>
      </c>
      <c r="AT176" s="43">
        <v>251146</v>
      </c>
      <c r="AU176" s="43">
        <v>4394217</v>
      </c>
      <c r="AV176" s="43">
        <v>908887</v>
      </c>
      <c r="AW176" s="43">
        <v>446700</v>
      </c>
      <c r="AX176" s="43">
        <v>422254</v>
      </c>
      <c r="AY176" s="43">
        <v>1163564</v>
      </c>
      <c r="AZ176" s="43">
        <v>12618</v>
      </c>
      <c r="BA176" s="43">
        <v>307172</v>
      </c>
      <c r="BB176" s="43">
        <v>2435310</v>
      </c>
      <c r="BC176" s="43">
        <v>2216366</v>
      </c>
      <c r="BD176" s="43">
        <v>810381</v>
      </c>
      <c r="BE176" s="43">
        <v>1131649</v>
      </c>
      <c r="BF176" s="43">
        <v>1552824</v>
      </c>
      <c r="BG176" s="37">
        <v>0</v>
      </c>
      <c r="BH176" s="43">
        <v>2689168</v>
      </c>
      <c r="BI176" s="43">
        <v>473826</v>
      </c>
      <c r="BJ176" s="43">
        <v>412070</v>
      </c>
      <c r="BK176" s="43">
        <v>1231200</v>
      </c>
      <c r="BL176" s="43">
        <v>1909378</v>
      </c>
      <c r="BM176" s="43">
        <v>649708</v>
      </c>
      <c r="BN176" s="43">
        <v>4147210</v>
      </c>
      <c r="BO176" s="43">
        <v>2997262</v>
      </c>
      <c r="BP176" s="43">
        <v>2087089</v>
      </c>
      <c r="BQ176" s="43">
        <v>2527071</v>
      </c>
      <c r="BR176" s="43">
        <v>858870</v>
      </c>
      <c r="BS176" s="43">
        <v>1831663</v>
      </c>
      <c r="BT176" s="37">
        <v>0</v>
      </c>
      <c r="BU176" s="43">
        <v>20297</v>
      </c>
      <c r="BV176" s="43">
        <v>468705</v>
      </c>
      <c r="BW176" s="43">
        <v>532707</v>
      </c>
      <c r="BX176" s="37">
        <v>0</v>
      </c>
      <c r="BY176" s="37">
        <v>0</v>
      </c>
      <c r="BZ176" s="37">
        <v>0</v>
      </c>
      <c r="CA176" s="44">
        <f t="shared" si="18"/>
        <v>94738551</v>
      </c>
    </row>
    <row r="177" spans="1:79" x14ac:dyDescent="0.25">
      <c r="A177" s="41" t="s">
        <v>417</v>
      </c>
      <c r="B177" s="41" t="s">
        <v>418</v>
      </c>
      <c r="C177" s="43">
        <v>479427</v>
      </c>
      <c r="D177" s="37">
        <v>0</v>
      </c>
      <c r="E177" s="43">
        <v>142902</v>
      </c>
      <c r="F177" s="43">
        <v>399225</v>
      </c>
      <c r="G177" s="43">
        <v>115674</v>
      </c>
      <c r="H177" s="43">
        <v>87018</v>
      </c>
      <c r="I177" s="43">
        <v>232052</v>
      </c>
      <c r="J177" s="43">
        <v>602384</v>
      </c>
      <c r="K177" s="43">
        <v>366130</v>
      </c>
      <c r="L177" s="43">
        <v>193819</v>
      </c>
      <c r="M177" s="43">
        <v>119614</v>
      </c>
      <c r="N177" s="43">
        <v>582672</v>
      </c>
      <c r="O177" s="37">
        <v>0</v>
      </c>
      <c r="P177" s="43">
        <v>212076</v>
      </c>
      <c r="Q177" s="43">
        <v>284651</v>
      </c>
      <c r="R177" s="43">
        <v>780824</v>
      </c>
      <c r="S177" s="43">
        <v>489829</v>
      </c>
      <c r="T177" s="43">
        <v>331019</v>
      </c>
      <c r="U177" s="37">
        <v>0</v>
      </c>
      <c r="V177" s="43">
        <v>575297</v>
      </c>
      <c r="W177" s="43">
        <v>735394</v>
      </c>
      <c r="X177" s="43">
        <v>84661</v>
      </c>
      <c r="Y177" s="43">
        <v>224597</v>
      </c>
      <c r="Z177" s="43">
        <v>735496</v>
      </c>
      <c r="AA177" s="43">
        <v>84559</v>
      </c>
      <c r="AB177" s="43">
        <v>547063</v>
      </c>
      <c r="AC177" s="43">
        <v>427136</v>
      </c>
      <c r="AD177" s="43">
        <v>554455</v>
      </c>
      <c r="AE177" s="37">
        <v>0</v>
      </c>
      <c r="AF177" s="43">
        <v>132992</v>
      </c>
      <c r="AG177" s="43">
        <v>82245</v>
      </c>
      <c r="AH177" s="43">
        <v>585657</v>
      </c>
      <c r="AI177" s="43">
        <v>2259186</v>
      </c>
      <c r="AJ177" s="43">
        <v>566988</v>
      </c>
      <c r="AK177" s="43">
        <v>22241</v>
      </c>
      <c r="AL177" s="43">
        <v>85429</v>
      </c>
      <c r="AM177" s="44">
        <v>285098</v>
      </c>
      <c r="AN177" s="43">
        <v>2453718</v>
      </c>
      <c r="AO177" s="37">
        <v>0</v>
      </c>
      <c r="AP177" s="43">
        <v>796953</v>
      </c>
      <c r="AQ177" s="43">
        <v>782469</v>
      </c>
      <c r="AR177" s="43">
        <v>280439</v>
      </c>
      <c r="AS177" s="43">
        <v>218221</v>
      </c>
      <c r="AT177" s="43">
        <v>101361</v>
      </c>
      <c r="AU177" s="43">
        <v>1062524</v>
      </c>
      <c r="AV177" s="43">
        <v>541563</v>
      </c>
      <c r="AW177" s="43">
        <v>114867</v>
      </c>
      <c r="AX177" s="43">
        <v>59825</v>
      </c>
      <c r="AY177" s="43">
        <v>584523</v>
      </c>
      <c r="AZ177" s="43">
        <v>266015</v>
      </c>
      <c r="BA177" s="43">
        <v>423840</v>
      </c>
      <c r="BB177" s="43">
        <v>492804</v>
      </c>
      <c r="BC177" s="43">
        <v>669781</v>
      </c>
      <c r="BD177" s="43">
        <v>2042714</v>
      </c>
      <c r="BE177" s="43">
        <v>3783244</v>
      </c>
      <c r="BF177" s="43">
        <v>960889</v>
      </c>
      <c r="BG177" s="37">
        <v>0</v>
      </c>
      <c r="BH177" s="37">
        <v>0</v>
      </c>
      <c r="BI177" s="43">
        <v>299539</v>
      </c>
      <c r="BJ177" s="43">
        <v>141968</v>
      </c>
      <c r="BK177" s="43">
        <v>305598</v>
      </c>
      <c r="BL177" s="43">
        <v>87635</v>
      </c>
      <c r="BM177" s="43">
        <v>61555</v>
      </c>
      <c r="BN177" s="43">
        <v>538146</v>
      </c>
      <c r="BO177" s="43">
        <v>492968</v>
      </c>
      <c r="BP177" s="43">
        <v>121188</v>
      </c>
      <c r="BQ177" s="43">
        <v>151575</v>
      </c>
      <c r="BR177" s="43">
        <v>366589</v>
      </c>
      <c r="BS177" s="43">
        <v>349603</v>
      </c>
      <c r="BT177" s="37">
        <v>0</v>
      </c>
      <c r="BU177" s="43">
        <v>223729</v>
      </c>
      <c r="BV177" s="43">
        <v>798398</v>
      </c>
      <c r="BW177" s="43">
        <v>1284234</v>
      </c>
      <c r="BX177" s="37">
        <v>0</v>
      </c>
      <c r="BY177" s="37">
        <v>0</v>
      </c>
      <c r="BZ177" s="37">
        <v>0</v>
      </c>
      <c r="CA177" s="44">
        <f t="shared" si="18"/>
        <v>34266285</v>
      </c>
    </row>
    <row r="178" spans="1:79" x14ac:dyDescent="0.25">
      <c r="A178" s="52" t="s">
        <v>419</v>
      </c>
      <c r="B178" s="52" t="s">
        <v>420</v>
      </c>
      <c r="AM178" s="44"/>
      <c r="CA178" s="44">
        <f t="shared" si="18"/>
        <v>0</v>
      </c>
    </row>
    <row r="179" spans="1:79" x14ac:dyDescent="0.25">
      <c r="A179" s="52" t="s">
        <v>421</v>
      </c>
      <c r="B179" s="52" t="s">
        <v>422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3">
        <v>455463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43">
        <v>56442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216</v>
      </c>
      <c r="AI179" s="37">
        <v>0</v>
      </c>
      <c r="AJ179" s="37">
        <v>0</v>
      </c>
      <c r="AK179" s="37">
        <v>0</v>
      </c>
      <c r="AL179" s="37">
        <v>0</v>
      </c>
      <c r="AM179" s="44">
        <v>0</v>
      </c>
      <c r="AN179" s="37">
        <v>0</v>
      </c>
      <c r="AO179" s="37">
        <v>0</v>
      </c>
      <c r="AP179" s="43">
        <v>9817</v>
      </c>
      <c r="AQ179" s="37">
        <v>0</v>
      </c>
      <c r="AR179" s="37">
        <v>0</v>
      </c>
      <c r="AS179" s="37">
        <v>0</v>
      </c>
      <c r="AT179" s="37">
        <v>0</v>
      </c>
      <c r="AU179" s="37">
        <v>0</v>
      </c>
      <c r="AV179" s="37">
        <v>0</v>
      </c>
      <c r="AW179" s="37">
        <v>0</v>
      </c>
      <c r="AX179" s="37">
        <v>0</v>
      </c>
      <c r="AY179" s="43">
        <v>18232</v>
      </c>
      <c r="AZ179" s="37">
        <v>0</v>
      </c>
      <c r="BA179" s="37">
        <v>0</v>
      </c>
      <c r="BB179" s="37">
        <v>0</v>
      </c>
      <c r="BC179" s="37">
        <v>0</v>
      </c>
      <c r="BD179" s="37">
        <v>0</v>
      </c>
      <c r="BE179" s="37">
        <v>0</v>
      </c>
      <c r="BF179" s="37">
        <v>0</v>
      </c>
      <c r="BG179" s="43">
        <v>16996</v>
      </c>
      <c r="BH179" s="37">
        <v>0</v>
      </c>
      <c r="BI179" s="37">
        <v>0</v>
      </c>
      <c r="BJ179" s="37">
        <v>0</v>
      </c>
      <c r="BK179" s="37">
        <v>0</v>
      </c>
      <c r="BL179" s="37">
        <v>0</v>
      </c>
      <c r="BM179" s="37">
        <v>0</v>
      </c>
      <c r="BN179" s="37">
        <v>0</v>
      </c>
      <c r="BO179" s="37">
        <v>0</v>
      </c>
      <c r="BP179" s="37">
        <v>0</v>
      </c>
      <c r="BQ179" s="43">
        <v>274681</v>
      </c>
      <c r="BR179" s="37">
        <v>0</v>
      </c>
      <c r="BS179" s="43">
        <v>15750</v>
      </c>
      <c r="BT179" s="37">
        <v>0</v>
      </c>
      <c r="BU179" s="37">
        <v>0</v>
      </c>
      <c r="BV179" s="37">
        <v>0</v>
      </c>
      <c r="BW179" s="37">
        <v>0</v>
      </c>
      <c r="BX179" s="43">
        <f>7937-7937</f>
        <v>0</v>
      </c>
      <c r="BY179" s="37">
        <v>0</v>
      </c>
      <c r="BZ179" s="43">
        <f>29608-29608</f>
        <v>0</v>
      </c>
      <c r="CA179" s="44">
        <f t="shared" si="18"/>
        <v>847597</v>
      </c>
    </row>
    <row r="180" spans="1:79" x14ac:dyDescent="0.25">
      <c r="A180" s="52" t="s">
        <v>423</v>
      </c>
      <c r="B180" s="52" t="s">
        <v>424</v>
      </c>
      <c r="C180" s="37">
        <v>0</v>
      </c>
      <c r="D180" s="43">
        <v>1293418</v>
      </c>
      <c r="E180" s="43">
        <v>89679</v>
      </c>
      <c r="F180" s="43">
        <v>444668</v>
      </c>
      <c r="G180" s="43">
        <v>181435</v>
      </c>
      <c r="H180" s="43">
        <v>141140</v>
      </c>
      <c r="I180" s="43">
        <v>176333</v>
      </c>
      <c r="J180" s="43">
        <v>734572</v>
      </c>
      <c r="K180" s="43">
        <v>141254</v>
      </c>
      <c r="L180" s="43">
        <v>134264</v>
      </c>
      <c r="M180" s="43">
        <v>106862</v>
      </c>
      <c r="N180" s="43">
        <f>1239830-32813</f>
        <v>1207017</v>
      </c>
      <c r="O180" s="43">
        <v>1724676</v>
      </c>
      <c r="P180" s="43">
        <v>114657</v>
      </c>
      <c r="Q180" s="43">
        <f>3059180-25729-16492-47295</f>
        <v>2969664</v>
      </c>
      <c r="R180" s="43">
        <v>520590</v>
      </c>
      <c r="S180" s="43">
        <v>300214</v>
      </c>
      <c r="T180" s="43">
        <v>402262</v>
      </c>
      <c r="U180" s="37">
        <v>0</v>
      </c>
      <c r="V180" s="43">
        <v>319665</v>
      </c>
      <c r="W180" s="43">
        <v>580806</v>
      </c>
      <c r="X180" s="43">
        <v>78306</v>
      </c>
      <c r="Y180" s="43">
        <v>202033</v>
      </c>
      <c r="Z180" s="43">
        <v>1251979</v>
      </c>
      <c r="AA180" s="43">
        <v>162960</v>
      </c>
      <c r="AB180" s="43">
        <v>214372</v>
      </c>
      <c r="AC180" s="43">
        <v>257436</v>
      </c>
      <c r="AD180" s="43">
        <v>1013302</v>
      </c>
      <c r="AE180" s="37">
        <v>0</v>
      </c>
      <c r="AF180" s="43">
        <v>221656</v>
      </c>
      <c r="AG180" s="43">
        <v>76824</v>
      </c>
      <c r="AH180" s="43">
        <v>622125</v>
      </c>
      <c r="AI180" s="43">
        <v>3979215</v>
      </c>
      <c r="AJ180" s="43">
        <v>490468</v>
      </c>
      <c r="AK180" s="43">
        <v>53420</v>
      </c>
      <c r="AL180" s="43">
        <v>91464</v>
      </c>
      <c r="AM180" s="44">
        <v>190333</v>
      </c>
      <c r="AN180" s="43">
        <f>2650359-7444-7839-11271</f>
        <v>2623805</v>
      </c>
      <c r="AO180" s="37">
        <v>0</v>
      </c>
      <c r="AP180" s="43">
        <v>570061</v>
      </c>
      <c r="AQ180" s="43">
        <v>669228</v>
      </c>
      <c r="AR180" s="43">
        <v>327630</v>
      </c>
      <c r="AS180" s="43">
        <v>176515</v>
      </c>
      <c r="AT180" s="43">
        <v>2634</v>
      </c>
      <c r="AU180" s="43">
        <v>1604884</v>
      </c>
      <c r="AV180" s="43">
        <v>529252</v>
      </c>
      <c r="AW180" s="43">
        <v>136907</v>
      </c>
      <c r="AX180" s="43">
        <v>182975</v>
      </c>
      <c r="AY180" s="37">
        <v>0</v>
      </c>
      <c r="AZ180" s="43">
        <v>60321</v>
      </c>
      <c r="BA180" s="43">
        <v>295413</v>
      </c>
      <c r="BB180" s="43">
        <v>237072</v>
      </c>
      <c r="BC180" s="43">
        <v>363944</v>
      </c>
      <c r="BD180" s="43">
        <v>676750</v>
      </c>
      <c r="BE180" s="43">
        <v>852923</v>
      </c>
      <c r="BF180" s="43">
        <v>810447</v>
      </c>
      <c r="BG180" s="43">
        <f>1988133-8090</f>
        <v>1980043</v>
      </c>
      <c r="BH180" s="43">
        <v>1789526</v>
      </c>
      <c r="BI180" s="43">
        <v>129505</v>
      </c>
      <c r="BJ180" s="43">
        <v>285105</v>
      </c>
      <c r="BK180" s="43">
        <v>508610</v>
      </c>
      <c r="BL180" s="37">
        <v>0</v>
      </c>
      <c r="BM180" s="43">
        <v>145969</v>
      </c>
      <c r="BN180" s="43">
        <v>461949</v>
      </c>
      <c r="BO180" s="43">
        <v>637099</v>
      </c>
      <c r="BP180" s="43">
        <v>576144</v>
      </c>
      <c r="BQ180" s="43">
        <v>970185</v>
      </c>
      <c r="BR180" s="43">
        <v>209172</v>
      </c>
      <c r="BS180" s="43">
        <v>232787</v>
      </c>
      <c r="BT180" s="43">
        <v>303935</v>
      </c>
      <c r="BU180" s="43">
        <v>472711</v>
      </c>
      <c r="BV180" s="43">
        <v>1002775</v>
      </c>
      <c r="BW180" s="43">
        <v>686528</v>
      </c>
      <c r="BX180" s="43">
        <f>88979-20851-20934-16764-25161-5269</f>
        <v>0</v>
      </c>
      <c r="BY180" s="43">
        <f>55835-18144-14277-23414</f>
        <v>0</v>
      </c>
      <c r="BZ180" s="43">
        <f>16833-16833</f>
        <v>0</v>
      </c>
      <c r="CA180" s="44">
        <f t="shared" si="18"/>
        <v>41001873</v>
      </c>
    </row>
    <row r="181" spans="1:79" x14ac:dyDescent="0.25">
      <c r="A181" s="52" t="s">
        <v>425</v>
      </c>
      <c r="B181" s="52" t="s">
        <v>426</v>
      </c>
      <c r="C181" s="43">
        <v>4656</v>
      </c>
      <c r="D181" s="43">
        <v>36244</v>
      </c>
      <c r="E181" s="43">
        <v>2263</v>
      </c>
      <c r="F181" s="43">
        <v>14745</v>
      </c>
      <c r="G181" s="43">
        <v>5105</v>
      </c>
      <c r="H181" s="43">
        <v>4159</v>
      </c>
      <c r="I181" s="43">
        <v>4801</v>
      </c>
      <c r="J181" s="37">
        <v>0</v>
      </c>
      <c r="K181" s="43">
        <v>3779</v>
      </c>
      <c r="L181" s="37">
        <v>0</v>
      </c>
      <c r="M181" s="37">
        <v>0</v>
      </c>
      <c r="N181" s="37">
        <v>0</v>
      </c>
      <c r="O181" s="43">
        <v>54645</v>
      </c>
      <c r="P181" s="37">
        <v>0</v>
      </c>
      <c r="Q181" s="43">
        <f>4990-961-2270-1759</f>
        <v>0</v>
      </c>
      <c r="R181" s="37">
        <v>391</v>
      </c>
      <c r="S181" s="37">
        <v>0</v>
      </c>
      <c r="T181" s="43">
        <v>11151</v>
      </c>
      <c r="U181" s="37">
        <v>0</v>
      </c>
      <c r="V181" s="37">
        <v>0</v>
      </c>
      <c r="W181" s="43">
        <v>13423</v>
      </c>
      <c r="X181" s="37">
        <v>0</v>
      </c>
      <c r="Y181" s="37">
        <v>0</v>
      </c>
      <c r="Z181" s="43">
        <v>35581</v>
      </c>
      <c r="AA181" s="43">
        <v>4386</v>
      </c>
      <c r="AB181" s="37">
        <v>0</v>
      </c>
      <c r="AC181" s="43">
        <v>6029</v>
      </c>
      <c r="AD181" s="37">
        <v>0</v>
      </c>
      <c r="AE181" s="37">
        <v>0</v>
      </c>
      <c r="AF181" s="37">
        <v>0</v>
      </c>
      <c r="AG181" s="43">
        <v>1946</v>
      </c>
      <c r="AH181" s="43">
        <v>15217</v>
      </c>
      <c r="AI181" s="43">
        <v>124296</v>
      </c>
      <c r="AJ181" s="37">
        <v>0</v>
      </c>
      <c r="AK181" s="43">
        <v>53420</v>
      </c>
      <c r="AL181" s="43">
        <v>2207</v>
      </c>
      <c r="AM181" s="44">
        <v>0</v>
      </c>
      <c r="AN181" s="43">
        <f>77552-190-188</f>
        <v>77174</v>
      </c>
      <c r="AO181" s="37">
        <v>0</v>
      </c>
      <c r="AP181" s="43">
        <v>16104</v>
      </c>
      <c r="AQ181" s="43">
        <v>22873</v>
      </c>
      <c r="AR181" s="37">
        <v>0</v>
      </c>
      <c r="AS181" s="37">
        <v>0</v>
      </c>
      <c r="AT181" s="37">
        <v>0</v>
      </c>
      <c r="AU181" s="37">
        <v>0</v>
      </c>
      <c r="AV181" s="37">
        <v>0</v>
      </c>
      <c r="AW181" s="43">
        <v>3879</v>
      </c>
      <c r="AX181" s="43">
        <v>5366</v>
      </c>
      <c r="AY181" s="43">
        <v>1192418</v>
      </c>
      <c r="AZ181" s="37">
        <v>0</v>
      </c>
      <c r="BA181" s="43">
        <v>6214</v>
      </c>
      <c r="BB181" s="37">
        <v>0</v>
      </c>
      <c r="BC181" s="37">
        <v>0</v>
      </c>
      <c r="BD181" s="37">
        <v>0</v>
      </c>
      <c r="BE181" s="37">
        <v>0</v>
      </c>
      <c r="BF181" s="43">
        <v>23147</v>
      </c>
      <c r="BG181" s="37">
        <f>151-151</f>
        <v>0</v>
      </c>
      <c r="BH181" s="37">
        <v>0</v>
      </c>
      <c r="BI181" s="43">
        <v>3665</v>
      </c>
      <c r="BJ181" s="43">
        <v>7495</v>
      </c>
      <c r="BK181" s="43">
        <v>14842</v>
      </c>
      <c r="BL181" s="43">
        <v>214408</v>
      </c>
      <c r="BM181" s="43">
        <v>4135</v>
      </c>
      <c r="BN181" s="43">
        <v>15483</v>
      </c>
      <c r="BO181" s="43">
        <v>20060</v>
      </c>
      <c r="BP181" s="43">
        <v>15733</v>
      </c>
      <c r="BQ181" s="37">
        <v>0</v>
      </c>
      <c r="BR181" s="43">
        <v>5219</v>
      </c>
      <c r="BS181" s="37">
        <v>0</v>
      </c>
      <c r="BT181" s="37">
        <v>0</v>
      </c>
      <c r="BU181" s="37">
        <v>0</v>
      </c>
      <c r="BV181" s="43">
        <f>35087-6595</f>
        <v>28492</v>
      </c>
      <c r="BW181" s="37">
        <v>0</v>
      </c>
      <c r="BX181" s="43">
        <f>3734-860-670-625-1579</f>
        <v>0</v>
      </c>
      <c r="BY181" s="43">
        <f>66791-548-192-63725-2326</f>
        <v>0</v>
      </c>
      <c r="BZ181" s="37">
        <v>0</v>
      </c>
      <c r="CA181" s="44">
        <f t="shared" si="18"/>
        <v>2075151</v>
      </c>
    </row>
    <row r="182" spans="1:79" x14ac:dyDescent="0.25">
      <c r="A182" s="52" t="s">
        <v>427</v>
      </c>
      <c r="B182" s="52" t="s">
        <v>428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44">
        <v>0</v>
      </c>
      <c r="AN182" s="37">
        <v>0</v>
      </c>
      <c r="AO182" s="37">
        <v>0</v>
      </c>
      <c r="AP182" s="37">
        <v>0</v>
      </c>
      <c r="AQ182" s="37">
        <v>0</v>
      </c>
      <c r="AR182" s="37">
        <v>0</v>
      </c>
      <c r="AS182" s="37">
        <v>0</v>
      </c>
      <c r="AT182" s="37">
        <v>0</v>
      </c>
      <c r="AU182" s="37">
        <v>0</v>
      </c>
      <c r="AV182" s="37">
        <v>0</v>
      </c>
      <c r="AW182" s="37">
        <v>0</v>
      </c>
      <c r="AX182" s="37">
        <v>0</v>
      </c>
      <c r="AY182" s="37">
        <v>0</v>
      </c>
      <c r="AZ182" s="37">
        <v>0</v>
      </c>
      <c r="BA182" s="37">
        <v>0</v>
      </c>
      <c r="BB182" s="37">
        <v>0</v>
      </c>
      <c r="BC182" s="37">
        <v>0</v>
      </c>
      <c r="BD182" s="37">
        <v>0</v>
      </c>
      <c r="BE182" s="37">
        <v>0</v>
      </c>
      <c r="BF182" s="37">
        <v>0</v>
      </c>
      <c r="BG182" s="37">
        <v>0</v>
      </c>
      <c r="BH182" s="37">
        <v>0</v>
      </c>
      <c r="BI182" s="43">
        <v>9900</v>
      </c>
      <c r="BJ182" s="37">
        <v>0</v>
      </c>
      <c r="BK182" s="37">
        <v>0</v>
      </c>
      <c r="BL182" s="37">
        <v>0</v>
      </c>
      <c r="BM182" s="37">
        <v>0</v>
      </c>
      <c r="BN182" s="37">
        <v>0</v>
      </c>
      <c r="BO182" s="37">
        <v>0</v>
      </c>
      <c r="BP182" s="37">
        <v>0</v>
      </c>
      <c r="BQ182" s="37">
        <v>0</v>
      </c>
      <c r="BR182" s="37">
        <v>0</v>
      </c>
      <c r="BS182" s="37">
        <v>0</v>
      </c>
      <c r="BT182" s="37">
        <v>0</v>
      </c>
      <c r="BU182" s="37">
        <v>0</v>
      </c>
      <c r="BV182" s="37">
        <v>0</v>
      </c>
      <c r="BW182" s="37">
        <v>0</v>
      </c>
      <c r="BX182" s="37">
        <v>0</v>
      </c>
      <c r="BY182" s="37">
        <v>0</v>
      </c>
      <c r="BZ182" s="37">
        <v>0</v>
      </c>
      <c r="CA182" s="44">
        <f t="shared" si="18"/>
        <v>9900</v>
      </c>
    </row>
    <row r="183" spans="1:79" x14ac:dyDescent="0.25">
      <c r="A183" s="52" t="s">
        <v>429</v>
      </c>
      <c r="B183" s="52" t="s">
        <v>430</v>
      </c>
      <c r="C183" s="43">
        <v>98960</v>
      </c>
      <c r="D183" s="37">
        <v>0</v>
      </c>
      <c r="E183" s="43">
        <v>19427</v>
      </c>
      <c r="F183" s="43">
        <v>73917</v>
      </c>
      <c r="G183" s="43">
        <v>69993</v>
      </c>
      <c r="H183" s="43">
        <v>583004</v>
      </c>
      <c r="I183" s="43">
        <v>72583</v>
      </c>
      <c r="J183" s="37">
        <v>0</v>
      </c>
      <c r="K183" s="37">
        <v>0</v>
      </c>
      <c r="L183" s="37">
        <v>0</v>
      </c>
      <c r="M183" s="43">
        <v>88795</v>
      </c>
      <c r="N183" s="43">
        <v>83402</v>
      </c>
      <c r="O183" s="43">
        <v>78273</v>
      </c>
      <c r="P183" s="37">
        <v>0</v>
      </c>
      <c r="Q183" s="43">
        <f>550595-1380</f>
        <v>549215</v>
      </c>
      <c r="R183" s="43">
        <v>76789</v>
      </c>
      <c r="S183" s="37">
        <v>0</v>
      </c>
      <c r="T183" s="43">
        <v>53670</v>
      </c>
      <c r="U183" s="37">
        <v>0</v>
      </c>
      <c r="V183" s="43">
        <v>210568</v>
      </c>
      <c r="W183" s="37">
        <v>0</v>
      </c>
      <c r="X183" s="37">
        <v>0</v>
      </c>
      <c r="Y183" s="43">
        <v>2535</v>
      </c>
      <c r="Z183" s="37">
        <v>225</v>
      </c>
      <c r="AA183" s="43">
        <v>1121</v>
      </c>
      <c r="AB183" s="37">
        <v>0</v>
      </c>
      <c r="AC183" s="37">
        <v>0</v>
      </c>
      <c r="AD183" s="43">
        <v>1566961</v>
      </c>
      <c r="AE183" s="43">
        <v>939829</v>
      </c>
      <c r="AF183" s="43">
        <v>43815</v>
      </c>
      <c r="AG183" s="37">
        <v>0</v>
      </c>
      <c r="AH183" s="43">
        <v>1555</v>
      </c>
      <c r="AI183" s="43">
        <v>12971942</v>
      </c>
      <c r="AJ183" s="43">
        <v>47677</v>
      </c>
      <c r="AK183" s="37">
        <v>0</v>
      </c>
      <c r="AL183" s="37">
        <v>0</v>
      </c>
      <c r="AM183" s="44">
        <v>0</v>
      </c>
      <c r="AN183" s="43">
        <v>593758</v>
      </c>
      <c r="AO183" s="37">
        <v>0</v>
      </c>
      <c r="AP183" s="43">
        <v>123623</v>
      </c>
      <c r="AQ183" s="43">
        <v>450239</v>
      </c>
      <c r="AR183" s="43">
        <v>158285</v>
      </c>
      <c r="AS183" s="37">
        <v>0</v>
      </c>
      <c r="AT183" s="37">
        <v>0</v>
      </c>
      <c r="AU183" s="43">
        <v>163633</v>
      </c>
      <c r="AV183" s="43">
        <v>473185</v>
      </c>
      <c r="AW183" s="37">
        <v>0</v>
      </c>
      <c r="AX183" s="37">
        <v>0</v>
      </c>
      <c r="AY183" s="37">
        <v>0</v>
      </c>
      <c r="AZ183" s="37">
        <v>0</v>
      </c>
      <c r="BA183" s="43">
        <v>3429563</v>
      </c>
      <c r="BB183" s="43">
        <v>13807</v>
      </c>
      <c r="BC183" s="37">
        <v>0</v>
      </c>
      <c r="BD183" s="43">
        <v>40983</v>
      </c>
      <c r="BE183" s="43">
        <v>187114</v>
      </c>
      <c r="BF183" s="37">
        <v>0</v>
      </c>
      <c r="BG183" s="37">
        <v>0</v>
      </c>
      <c r="BH183" s="43">
        <v>368231</v>
      </c>
      <c r="BI183" s="43">
        <v>92412</v>
      </c>
      <c r="BJ183" s="43">
        <v>121281</v>
      </c>
      <c r="BK183" s="37">
        <v>0</v>
      </c>
      <c r="BL183" s="43">
        <v>6751</v>
      </c>
      <c r="BM183" s="37">
        <v>540</v>
      </c>
      <c r="BN183" s="43">
        <v>10041</v>
      </c>
      <c r="BO183" s="43">
        <v>2315</v>
      </c>
      <c r="BP183" s="43">
        <v>18629</v>
      </c>
      <c r="BQ183" s="43">
        <v>722843</v>
      </c>
      <c r="BR183" s="37">
        <v>0</v>
      </c>
      <c r="BS183" s="37">
        <v>0</v>
      </c>
      <c r="BT183" s="43">
        <v>12203</v>
      </c>
      <c r="BU183" s="43">
        <v>40634</v>
      </c>
      <c r="BV183" s="43">
        <v>143882</v>
      </c>
      <c r="BW183" s="37">
        <v>0</v>
      </c>
      <c r="BX183" s="43">
        <f>103064-12499-36301-11330-502-5291-3369</f>
        <v>33772</v>
      </c>
      <c r="BY183" s="43">
        <f>664472-(-46960)-(-79)-18288-80000-(-24503)-718496-(-80830)</f>
        <v>60</v>
      </c>
      <c r="BZ183" s="43">
        <f>110510-27747-39263</f>
        <v>43500</v>
      </c>
      <c r="CA183" s="44">
        <f t="shared" si="18"/>
        <v>24885540</v>
      </c>
    </row>
    <row r="184" spans="1:79" x14ac:dyDescent="0.25">
      <c r="A184" s="37" t="s">
        <v>182</v>
      </c>
      <c r="B184" s="37" t="s">
        <v>431</v>
      </c>
      <c r="C184" s="43">
        <f>SUM(C62:C183)</f>
        <v>25867339</v>
      </c>
      <c r="D184" s="43">
        <f t="shared" ref="D184:BO184" si="19">SUM(D62:D183)</f>
        <v>165459411</v>
      </c>
      <c r="E184" s="43">
        <f t="shared" si="19"/>
        <v>11091282</v>
      </c>
      <c r="F184" s="43">
        <f t="shared" si="19"/>
        <v>74206615</v>
      </c>
      <c r="G184" s="43">
        <f t="shared" si="19"/>
        <v>28206757</v>
      </c>
      <c r="H184" s="43">
        <f t="shared" si="19"/>
        <v>20561706</v>
      </c>
      <c r="I184" s="43">
        <f t="shared" si="19"/>
        <v>23738497</v>
      </c>
      <c r="J184" s="43">
        <f t="shared" si="19"/>
        <v>96466121</v>
      </c>
      <c r="K184" s="43">
        <f t="shared" si="19"/>
        <v>18824170</v>
      </c>
      <c r="L184" s="43">
        <f t="shared" si="19"/>
        <v>16712485</v>
      </c>
      <c r="M184" s="43">
        <f t="shared" si="19"/>
        <v>13439320</v>
      </c>
      <c r="N184" s="43">
        <f t="shared" si="19"/>
        <v>124434155</v>
      </c>
      <c r="O184" s="43">
        <f t="shared" si="19"/>
        <v>258730786</v>
      </c>
      <c r="P184" s="43">
        <f t="shared" si="19"/>
        <v>12936097</v>
      </c>
      <c r="Q184" s="43">
        <f t="shared" si="19"/>
        <v>273398365</v>
      </c>
      <c r="R184" s="43">
        <f t="shared" si="19"/>
        <v>61103556</v>
      </c>
      <c r="S184" s="43">
        <f t="shared" si="19"/>
        <v>41317854</v>
      </c>
      <c r="T184" s="43">
        <f t="shared" si="19"/>
        <v>56777025</v>
      </c>
      <c r="U184" s="43">
        <f t="shared" si="19"/>
        <v>0</v>
      </c>
      <c r="V184" s="43">
        <f t="shared" si="19"/>
        <v>38958354</v>
      </c>
      <c r="W184" s="43">
        <f t="shared" si="19"/>
        <v>74237704</v>
      </c>
      <c r="X184" s="43">
        <f t="shared" si="19"/>
        <v>10261790</v>
      </c>
      <c r="Y184" s="43">
        <f t="shared" si="19"/>
        <v>27010783</v>
      </c>
      <c r="Z184" s="43">
        <f t="shared" si="19"/>
        <v>191712465</v>
      </c>
      <c r="AA184" s="43">
        <f t="shared" si="19"/>
        <v>18718392</v>
      </c>
      <c r="AB184" s="43">
        <f t="shared" si="19"/>
        <v>26581759</v>
      </c>
      <c r="AC184" s="43">
        <f t="shared" si="19"/>
        <v>18177774</v>
      </c>
      <c r="AD184" s="43">
        <f t="shared" si="19"/>
        <v>121030377</v>
      </c>
      <c r="AE184" s="43">
        <f t="shared" si="19"/>
        <v>9267931</v>
      </c>
      <c r="AF184" s="43">
        <f t="shared" si="19"/>
        <v>26800479</v>
      </c>
      <c r="AG184" s="43">
        <f t="shared" si="19"/>
        <v>10707368</v>
      </c>
      <c r="AH184" s="43">
        <f t="shared" si="19"/>
        <v>60070283</v>
      </c>
      <c r="AI184" s="43">
        <f t="shared" si="19"/>
        <v>565799954</v>
      </c>
      <c r="AJ184" s="43">
        <f t="shared" si="19"/>
        <v>68197179</v>
      </c>
      <c r="AK184" s="43">
        <f t="shared" si="19"/>
        <v>7639770</v>
      </c>
      <c r="AL184" s="43">
        <f t="shared" si="19"/>
        <v>11013620</v>
      </c>
      <c r="AM184" s="43">
        <f t="shared" si="19"/>
        <v>21448023</v>
      </c>
      <c r="AN184" s="43">
        <f t="shared" si="19"/>
        <v>286857251</v>
      </c>
      <c r="AO184" s="43">
        <f t="shared" si="19"/>
        <v>0</v>
      </c>
      <c r="AP184" s="43">
        <f t="shared" si="19"/>
        <v>86907046</v>
      </c>
      <c r="AQ184" s="43">
        <f t="shared" si="19"/>
        <v>110460538</v>
      </c>
      <c r="AR184" s="43">
        <f t="shared" si="19"/>
        <v>42748843</v>
      </c>
      <c r="AS184" s="43">
        <f t="shared" si="19"/>
        <v>22203016</v>
      </c>
      <c r="AT184" s="43">
        <f t="shared" si="19"/>
        <v>14221752</v>
      </c>
      <c r="AU184" s="43">
        <f t="shared" si="19"/>
        <v>228970886</v>
      </c>
      <c r="AV184" s="43">
        <f t="shared" si="19"/>
        <v>68892992</v>
      </c>
      <c r="AW184" s="43">
        <f t="shared" si="19"/>
        <v>18033273</v>
      </c>
      <c r="AX184" s="43">
        <f t="shared" si="19"/>
        <v>31442177</v>
      </c>
      <c r="AY184" s="43">
        <f t="shared" si="19"/>
        <v>149775185</v>
      </c>
      <c r="AZ184" s="43">
        <f t="shared" si="19"/>
        <v>6949698</v>
      </c>
      <c r="BA184" s="43">
        <f t="shared" si="19"/>
        <v>33999299</v>
      </c>
      <c r="BB184" s="43">
        <f t="shared" si="19"/>
        <v>30301148</v>
      </c>
      <c r="BC184" s="43">
        <f t="shared" si="19"/>
        <v>47645945</v>
      </c>
      <c r="BD184" s="43">
        <f t="shared" si="19"/>
        <v>72355187</v>
      </c>
      <c r="BE184" s="43">
        <f t="shared" si="19"/>
        <v>98280918</v>
      </c>
      <c r="BF184" s="43">
        <f t="shared" si="19"/>
        <v>116854278</v>
      </c>
      <c r="BG184" s="43">
        <f t="shared" si="19"/>
        <v>143473323</v>
      </c>
      <c r="BH184" s="43">
        <f t="shared" si="19"/>
        <v>226986462</v>
      </c>
      <c r="BI184" s="43">
        <f t="shared" si="19"/>
        <v>23113019</v>
      </c>
      <c r="BJ184" s="43">
        <f t="shared" si="19"/>
        <v>43294978</v>
      </c>
      <c r="BK184" s="43">
        <f t="shared" si="19"/>
        <v>88915382</v>
      </c>
      <c r="BL184" s="43">
        <f t="shared" si="19"/>
        <v>23891776</v>
      </c>
      <c r="BM184" s="43">
        <f t="shared" si="19"/>
        <v>21461462</v>
      </c>
      <c r="BN184" s="43">
        <f t="shared" si="19"/>
        <v>72840462</v>
      </c>
      <c r="BO184" s="43">
        <f t="shared" si="19"/>
        <v>90724357</v>
      </c>
      <c r="BP184" s="43">
        <f t="shared" ref="BP184:CA184" si="20">SUM(BP62:BP183)</f>
        <v>62647731</v>
      </c>
      <c r="BQ184" s="43">
        <f t="shared" si="20"/>
        <v>121461827</v>
      </c>
      <c r="BR184" s="43">
        <f t="shared" si="20"/>
        <v>30704578</v>
      </c>
      <c r="BS184" s="43">
        <f t="shared" si="20"/>
        <v>32534686</v>
      </c>
      <c r="BT184" s="43">
        <f t="shared" si="20"/>
        <v>41643154</v>
      </c>
      <c r="BU184" s="43">
        <f t="shared" si="20"/>
        <v>57462629</v>
      </c>
      <c r="BV184" s="43">
        <f t="shared" si="20"/>
        <v>128949167</v>
      </c>
      <c r="BW184" s="43">
        <f t="shared" si="20"/>
        <v>121501285</v>
      </c>
      <c r="BX184" s="43">
        <f t="shared" si="20"/>
        <v>185978758</v>
      </c>
      <c r="BY184" s="43">
        <f t="shared" si="20"/>
        <v>214219832</v>
      </c>
      <c r="BZ184" s="43">
        <f t="shared" si="20"/>
        <v>20065440</v>
      </c>
      <c r="CA184" s="44">
        <f t="shared" si="20"/>
        <v>5849675286</v>
      </c>
    </row>
    <row r="185" spans="1:79" x14ac:dyDescent="0.25">
      <c r="A185" s="54" t="s">
        <v>432</v>
      </c>
      <c r="B185" s="54" t="s">
        <v>433</v>
      </c>
      <c r="AM185" s="44"/>
      <c r="CA185" s="44">
        <f t="shared" si="18"/>
        <v>0</v>
      </c>
    </row>
    <row r="186" spans="1:79" x14ac:dyDescent="0.25">
      <c r="A186" s="54" t="s">
        <v>434</v>
      </c>
      <c r="B186" s="54" t="s">
        <v>435</v>
      </c>
      <c r="AM186" s="44"/>
      <c r="CA186" s="44">
        <f t="shared" si="18"/>
        <v>0</v>
      </c>
    </row>
    <row r="187" spans="1:79" x14ac:dyDescent="0.25">
      <c r="A187" s="54" t="s">
        <v>436</v>
      </c>
      <c r="B187" s="54" t="s">
        <v>437</v>
      </c>
      <c r="C187" s="37">
        <v>0</v>
      </c>
      <c r="D187" s="43">
        <v>88048</v>
      </c>
      <c r="E187" s="37">
        <v>0</v>
      </c>
      <c r="F187" s="37">
        <v>0</v>
      </c>
      <c r="G187" s="37">
        <v>0</v>
      </c>
      <c r="H187" s="37">
        <v>0</v>
      </c>
      <c r="I187" s="43">
        <v>244865</v>
      </c>
      <c r="J187" s="37">
        <v>0</v>
      </c>
      <c r="K187" s="37">
        <v>0</v>
      </c>
      <c r="L187" s="37">
        <v>0</v>
      </c>
      <c r="M187" s="43">
        <v>26801</v>
      </c>
      <c r="N187" s="43">
        <v>41345</v>
      </c>
      <c r="O187" s="43">
        <v>321402</v>
      </c>
      <c r="P187" s="37">
        <v>0</v>
      </c>
      <c r="Q187" s="43">
        <v>11674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43">
        <v>85285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43">
        <v>24424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44">
        <v>0</v>
      </c>
      <c r="AN187" s="37">
        <v>0</v>
      </c>
      <c r="AO187" s="37">
        <v>0</v>
      </c>
      <c r="AP187" s="37">
        <v>0</v>
      </c>
      <c r="AQ187" s="37">
        <v>0</v>
      </c>
      <c r="AR187" s="37">
        <v>0</v>
      </c>
      <c r="AS187" s="37">
        <v>0</v>
      </c>
      <c r="AT187" s="37">
        <v>0</v>
      </c>
      <c r="AU187" s="37">
        <v>0</v>
      </c>
      <c r="AV187" s="37">
        <v>0</v>
      </c>
      <c r="AW187" s="37">
        <v>0</v>
      </c>
      <c r="AX187" s="37">
        <v>0</v>
      </c>
      <c r="AY187" s="37">
        <v>0</v>
      </c>
      <c r="AZ187" s="37">
        <v>0</v>
      </c>
      <c r="BA187" s="37">
        <v>0</v>
      </c>
      <c r="BB187" s="37">
        <v>0</v>
      </c>
      <c r="BC187" s="37">
        <v>0</v>
      </c>
      <c r="BD187" s="37">
        <v>0</v>
      </c>
      <c r="BE187" s="37">
        <v>0</v>
      </c>
      <c r="BF187" s="37">
        <v>0</v>
      </c>
      <c r="BG187" s="37">
        <v>0</v>
      </c>
      <c r="BH187" s="43">
        <v>175895</v>
      </c>
      <c r="BI187" s="37">
        <v>0</v>
      </c>
      <c r="BJ187" s="37">
        <v>0</v>
      </c>
      <c r="BK187" s="37">
        <v>0</v>
      </c>
      <c r="BL187" s="37">
        <v>0</v>
      </c>
      <c r="BM187" s="37">
        <v>0</v>
      </c>
      <c r="BN187" s="37">
        <v>0</v>
      </c>
      <c r="BO187" s="37">
        <v>0</v>
      </c>
      <c r="BP187" s="37">
        <v>0</v>
      </c>
      <c r="BQ187" s="43">
        <v>368995</v>
      </c>
      <c r="BR187" s="37">
        <v>0</v>
      </c>
      <c r="BS187" s="37">
        <v>0</v>
      </c>
      <c r="BT187" s="37">
        <v>0</v>
      </c>
      <c r="BU187" s="37">
        <v>0</v>
      </c>
      <c r="BV187" s="37">
        <v>0</v>
      </c>
      <c r="BW187" s="37">
        <v>0</v>
      </c>
      <c r="BX187" s="37">
        <v>0</v>
      </c>
      <c r="BY187" s="37">
        <v>0</v>
      </c>
      <c r="BZ187" s="37">
        <v>0</v>
      </c>
      <c r="CA187" s="44">
        <f t="shared" si="18"/>
        <v>1388734</v>
      </c>
    </row>
    <row r="188" spans="1:79" x14ac:dyDescent="0.25">
      <c r="A188" s="54" t="s">
        <v>438</v>
      </c>
      <c r="B188" s="54" t="s">
        <v>439</v>
      </c>
      <c r="C188" s="37">
        <v>0</v>
      </c>
      <c r="D188" s="37">
        <v>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43">
        <v>425387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37">
        <v>0</v>
      </c>
      <c r="Z188" s="43">
        <v>345995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44">
        <v>0</v>
      </c>
      <c r="AN188" s="37">
        <v>0</v>
      </c>
      <c r="AO188" s="37">
        <v>0</v>
      </c>
      <c r="AP188" s="37">
        <v>0</v>
      </c>
      <c r="AQ188" s="37">
        <v>0</v>
      </c>
      <c r="AR188" s="37">
        <v>0</v>
      </c>
      <c r="AS188" s="37">
        <v>0</v>
      </c>
      <c r="AT188" s="37">
        <v>0</v>
      </c>
      <c r="AU188" s="37">
        <v>0</v>
      </c>
      <c r="AV188" s="37">
        <v>0</v>
      </c>
      <c r="AW188" s="37">
        <v>0</v>
      </c>
      <c r="AX188" s="37">
        <v>0</v>
      </c>
      <c r="AY188" s="37">
        <v>0</v>
      </c>
      <c r="AZ188" s="37">
        <v>0</v>
      </c>
      <c r="BA188" s="37">
        <v>0</v>
      </c>
      <c r="BB188" s="37">
        <v>0</v>
      </c>
      <c r="BC188" s="37">
        <v>0</v>
      </c>
      <c r="BD188" s="37">
        <v>0</v>
      </c>
      <c r="BE188" s="37">
        <v>0</v>
      </c>
      <c r="BF188" s="37">
        <v>0</v>
      </c>
      <c r="BG188" s="37">
        <v>0</v>
      </c>
      <c r="BH188" s="37">
        <v>0</v>
      </c>
      <c r="BI188" s="37">
        <v>0</v>
      </c>
      <c r="BJ188" s="37">
        <v>0</v>
      </c>
      <c r="BK188" s="37">
        <v>0</v>
      </c>
      <c r="BL188" s="37">
        <v>0</v>
      </c>
      <c r="BM188" s="37">
        <v>0</v>
      </c>
      <c r="BN188" s="37">
        <v>0</v>
      </c>
      <c r="BO188" s="37">
        <v>0</v>
      </c>
      <c r="BP188" s="37">
        <v>0</v>
      </c>
      <c r="BQ188" s="37">
        <v>0</v>
      </c>
      <c r="BR188" s="37">
        <v>0</v>
      </c>
      <c r="BS188" s="37">
        <v>0</v>
      </c>
      <c r="BT188" s="37">
        <v>0</v>
      </c>
      <c r="BU188" s="37">
        <v>0</v>
      </c>
      <c r="BV188" s="37">
        <v>0</v>
      </c>
      <c r="BW188" s="37">
        <v>0</v>
      </c>
      <c r="BX188" s="37">
        <v>0</v>
      </c>
      <c r="BY188" s="37">
        <v>0</v>
      </c>
      <c r="BZ188" s="37">
        <v>0</v>
      </c>
      <c r="CA188" s="44">
        <f t="shared" si="18"/>
        <v>771382</v>
      </c>
    </row>
    <row r="189" spans="1:79" x14ac:dyDescent="0.25">
      <c r="A189" s="54" t="s">
        <v>440</v>
      </c>
      <c r="B189" s="54" t="s">
        <v>441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44">
        <v>0</v>
      </c>
      <c r="AN189" s="37">
        <v>0</v>
      </c>
      <c r="AO189" s="37">
        <v>0</v>
      </c>
      <c r="AP189" s="37">
        <v>0</v>
      </c>
      <c r="AQ189" s="37">
        <v>0</v>
      </c>
      <c r="AR189" s="37">
        <v>0</v>
      </c>
      <c r="AS189" s="37">
        <v>0</v>
      </c>
      <c r="AT189" s="37">
        <v>0</v>
      </c>
      <c r="AU189" s="37">
        <v>0</v>
      </c>
      <c r="AV189" s="37">
        <v>0</v>
      </c>
      <c r="AW189" s="37">
        <v>0</v>
      </c>
      <c r="AX189" s="37">
        <v>0</v>
      </c>
      <c r="AY189" s="37">
        <v>0</v>
      </c>
      <c r="AZ189" s="37">
        <v>0</v>
      </c>
      <c r="BA189" s="37">
        <v>0</v>
      </c>
      <c r="BB189" s="37">
        <v>0</v>
      </c>
      <c r="BC189" s="37">
        <v>0</v>
      </c>
      <c r="BD189" s="37">
        <v>0</v>
      </c>
      <c r="BE189" s="37">
        <v>0</v>
      </c>
      <c r="BF189" s="37">
        <v>0</v>
      </c>
      <c r="BG189" s="37">
        <v>0</v>
      </c>
      <c r="BH189" s="37">
        <v>0</v>
      </c>
      <c r="BI189" s="37">
        <v>0</v>
      </c>
      <c r="BJ189" s="37">
        <v>0</v>
      </c>
      <c r="BK189" s="37">
        <v>0</v>
      </c>
      <c r="BL189" s="37">
        <v>0</v>
      </c>
      <c r="BM189" s="37">
        <v>0</v>
      </c>
      <c r="BN189" s="37">
        <v>0</v>
      </c>
      <c r="BO189" s="37">
        <v>0</v>
      </c>
      <c r="BP189" s="37">
        <v>0</v>
      </c>
      <c r="BQ189" s="37">
        <v>0</v>
      </c>
      <c r="BR189" s="37">
        <v>0</v>
      </c>
      <c r="BS189" s="37">
        <v>0</v>
      </c>
      <c r="BT189" s="37">
        <v>0</v>
      </c>
      <c r="BU189" s="37">
        <v>0</v>
      </c>
      <c r="BV189" s="37">
        <v>0</v>
      </c>
      <c r="BW189" s="37">
        <v>0</v>
      </c>
      <c r="BX189" s="37">
        <v>0</v>
      </c>
      <c r="BY189" s="37">
        <v>0</v>
      </c>
      <c r="BZ189" s="37">
        <v>0</v>
      </c>
      <c r="CA189" s="44">
        <f t="shared" si="18"/>
        <v>0</v>
      </c>
    </row>
    <row r="190" spans="1:79" x14ac:dyDescent="0.25">
      <c r="A190" s="54" t="s">
        <v>442</v>
      </c>
      <c r="B190" s="54" t="s">
        <v>443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44">
        <v>0</v>
      </c>
      <c r="AN190" s="37">
        <v>0</v>
      </c>
      <c r="AO190" s="37">
        <v>0</v>
      </c>
      <c r="AP190" s="37">
        <v>0</v>
      </c>
      <c r="AQ190" s="37">
        <v>0</v>
      </c>
      <c r="AR190" s="37">
        <v>0</v>
      </c>
      <c r="AS190" s="37">
        <v>0</v>
      </c>
      <c r="AT190" s="37">
        <v>0</v>
      </c>
      <c r="AU190" s="37">
        <v>0</v>
      </c>
      <c r="AV190" s="37">
        <v>0</v>
      </c>
      <c r="AW190" s="37">
        <v>0</v>
      </c>
      <c r="AX190" s="37">
        <v>0</v>
      </c>
      <c r="AY190" s="37">
        <v>0</v>
      </c>
      <c r="AZ190" s="37">
        <v>0</v>
      </c>
      <c r="BA190" s="37">
        <v>0</v>
      </c>
      <c r="BB190" s="37">
        <v>0</v>
      </c>
      <c r="BC190" s="37">
        <v>0</v>
      </c>
      <c r="BD190" s="37">
        <v>0</v>
      </c>
      <c r="BE190" s="37">
        <v>0</v>
      </c>
      <c r="BF190" s="37">
        <v>0</v>
      </c>
      <c r="BG190" s="37">
        <v>0</v>
      </c>
      <c r="BH190" s="37">
        <v>0</v>
      </c>
      <c r="BI190" s="37">
        <v>0</v>
      </c>
      <c r="BJ190" s="37">
        <v>0</v>
      </c>
      <c r="BK190" s="37">
        <v>0</v>
      </c>
      <c r="BL190" s="37">
        <v>0</v>
      </c>
      <c r="BM190" s="37">
        <v>0</v>
      </c>
      <c r="BN190" s="37">
        <v>0</v>
      </c>
      <c r="BO190" s="37">
        <v>0</v>
      </c>
      <c r="BP190" s="37">
        <v>0</v>
      </c>
      <c r="BQ190" s="37">
        <v>0</v>
      </c>
      <c r="BR190" s="37">
        <v>0</v>
      </c>
      <c r="BS190" s="37">
        <v>0</v>
      </c>
      <c r="BT190" s="37">
        <v>0</v>
      </c>
      <c r="BU190" s="37">
        <v>0</v>
      </c>
      <c r="BV190" s="37">
        <v>0</v>
      </c>
      <c r="BW190" s="37">
        <v>0</v>
      </c>
      <c r="BX190" s="37">
        <v>0</v>
      </c>
      <c r="BY190" s="37">
        <v>0</v>
      </c>
      <c r="BZ190" s="37">
        <v>0</v>
      </c>
      <c r="CA190" s="44">
        <f t="shared" si="18"/>
        <v>0</v>
      </c>
    </row>
    <row r="191" spans="1:79" x14ac:dyDescent="0.25">
      <c r="A191" s="54" t="s">
        <v>444</v>
      </c>
      <c r="B191" s="54" t="s">
        <v>445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44">
        <v>0</v>
      </c>
      <c r="AN191" s="37">
        <v>0</v>
      </c>
      <c r="AO191" s="37">
        <v>0</v>
      </c>
      <c r="AP191" s="37">
        <v>0</v>
      </c>
      <c r="AQ191" s="37">
        <v>0</v>
      </c>
      <c r="AR191" s="37">
        <v>0</v>
      </c>
      <c r="AS191" s="37">
        <v>0</v>
      </c>
      <c r="AT191" s="37">
        <v>0</v>
      </c>
      <c r="AU191" s="37">
        <v>0</v>
      </c>
      <c r="AV191" s="37">
        <v>0</v>
      </c>
      <c r="AW191" s="37">
        <v>0</v>
      </c>
      <c r="AX191" s="37">
        <v>0</v>
      </c>
      <c r="AY191" s="37">
        <v>0</v>
      </c>
      <c r="AZ191" s="37">
        <v>0</v>
      </c>
      <c r="BA191" s="37">
        <v>0</v>
      </c>
      <c r="BB191" s="37">
        <v>0</v>
      </c>
      <c r="BC191" s="37">
        <v>0</v>
      </c>
      <c r="BD191" s="37">
        <v>0</v>
      </c>
      <c r="BE191" s="37">
        <v>0</v>
      </c>
      <c r="BF191" s="37">
        <v>0</v>
      </c>
      <c r="BG191" s="37">
        <v>0</v>
      </c>
      <c r="BH191" s="37">
        <v>0</v>
      </c>
      <c r="BI191" s="37">
        <v>0</v>
      </c>
      <c r="BJ191" s="37">
        <v>0</v>
      </c>
      <c r="BK191" s="37">
        <v>0</v>
      </c>
      <c r="BL191" s="37">
        <v>0</v>
      </c>
      <c r="BM191" s="37">
        <v>0</v>
      </c>
      <c r="BN191" s="37">
        <v>0</v>
      </c>
      <c r="BO191" s="37">
        <v>0</v>
      </c>
      <c r="BP191" s="37">
        <v>0</v>
      </c>
      <c r="BQ191" s="37">
        <v>0</v>
      </c>
      <c r="BR191" s="37">
        <v>0</v>
      </c>
      <c r="BS191" s="37">
        <v>0</v>
      </c>
      <c r="BT191" s="37">
        <v>0</v>
      </c>
      <c r="BU191" s="37">
        <v>0</v>
      </c>
      <c r="BV191" s="37">
        <v>0</v>
      </c>
      <c r="BW191" s="37">
        <v>0</v>
      </c>
      <c r="BX191" s="37">
        <v>0</v>
      </c>
      <c r="BY191" s="37">
        <v>0</v>
      </c>
      <c r="BZ191" s="37">
        <v>0</v>
      </c>
      <c r="CA191" s="44">
        <f t="shared" si="18"/>
        <v>0</v>
      </c>
    </row>
    <row r="192" spans="1:79" x14ac:dyDescent="0.25">
      <c r="A192" s="54" t="s">
        <v>446</v>
      </c>
      <c r="B192" s="54" t="s">
        <v>202</v>
      </c>
      <c r="AM192" s="44"/>
      <c r="CA192" s="44">
        <f t="shared" si="18"/>
        <v>0</v>
      </c>
    </row>
    <row r="193" spans="1:79" x14ac:dyDescent="0.25">
      <c r="A193" s="54" t="s">
        <v>447</v>
      </c>
      <c r="B193" s="54" t="s">
        <v>448</v>
      </c>
      <c r="C193" s="43">
        <v>76789</v>
      </c>
      <c r="D193" s="43">
        <v>326947</v>
      </c>
      <c r="E193" s="43">
        <v>45366</v>
      </c>
      <c r="F193" s="37">
        <v>0</v>
      </c>
      <c r="G193" s="43">
        <v>40119</v>
      </c>
      <c r="H193" s="43">
        <v>56291</v>
      </c>
      <c r="I193" s="43">
        <v>56678</v>
      </c>
      <c r="J193" s="43">
        <v>179499</v>
      </c>
      <c r="K193" s="43">
        <v>16533</v>
      </c>
      <c r="L193" s="43">
        <v>52884</v>
      </c>
      <c r="M193" s="43">
        <v>54198</v>
      </c>
      <c r="N193" s="43">
        <v>310795</v>
      </c>
      <c r="O193" s="37">
        <v>0</v>
      </c>
      <c r="P193" s="43">
        <v>50174</v>
      </c>
      <c r="Q193" s="43">
        <f>840577-27029</f>
        <v>813548</v>
      </c>
      <c r="R193" s="43">
        <v>114604</v>
      </c>
      <c r="S193" s="43">
        <v>107893</v>
      </c>
      <c r="T193" s="43">
        <v>245330</v>
      </c>
      <c r="U193" s="37">
        <v>0</v>
      </c>
      <c r="V193" s="43">
        <v>146844</v>
      </c>
      <c r="W193" s="43">
        <v>171604</v>
      </c>
      <c r="X193" s="43">
        <v>45064</v>
      </c>
      <c r="Y193" s="37">
        <v>0</v>
      </c>
      <c r="Z193" s="37">
        <v>0</v>
      </c>
      <c r="AA193" s="43">
        <v>36191</v>
      </c>
      <c r="AB193" s="43">
        <v>66775</v>
      </c>
      <c r="AC193" s="43">
        <v>67851</v>
      </c>
      <c r="AD193" s="43">
        <v>671078</v>
      </c>
      <c r="AE193" s="43">
        <v>41103</v>
      </c>
      <c r="AF193" s="43">
        <v>199747</v>
      </c>
      <c r="AG193" s="43">
        <v>45605</v>
      </c>
      <c r="AH193" s="43">
        <v>110658</v>
      </c>
      <c r="AI193" s="43">
        <v>1024192</v>
      </c>
      <c r="AJ193" s="37">
        <v>0</v>
      </c>
      <c r="AK193" s="43">
        <v>46094</v>
      </c>
      <c r="AL193" s="43">
        <v>52270</v>
      </c>
      <c r="AM193" s="44">
        <v>79654</v>
      </c>
      <c r="AN193" s="43">
        <f>791710-19660</f>
        <v>772050</v>
      </c>
      <c r="AO193" s="37">
        <v>0</v>
      </c>
      <c r="AP193" s="43">
        <v>183596</v>
      </c>
      <c r="AQ193" s="43">
        <v>174975</v>
      </c>
      <c r="AR193" s="43">
        <v>111051</v>
      </c>
      <c r="AS193" s="43">
        <v>56779</v>
      </c>
      <c r="AT193" s="43">
        <v>79654</v>
      </c>
      <c r="AU193" s="43">
        <v>326404</v>
      </c>
      <c r="AV193" s="43">
        <v>93997</v>
      </c>
      <c r="AW193" s="43">
        <v>56192</v>
      </c>
      <c r="AX193" s="43">
        <v>52785</v>
      </c>
      <c r="AY193" s="43">
        <v>258394</v>
      </c>
      <c r="AZ193" s="43">
        <v>58746</v>
      </c>
      <c r="BA193" s="43">
        <v>92011</v>
      </c>
      <c r="BB193" s="43">
        <v>109270</v>
      </c>
      <c r="BC193" s="43">
        <v>125398</v>
      </c>
      <c r="BD193" s="43">
        <v>148507</v>
      </c>
      <c r="BE193" s="43">
        <v>230456</v>
      </c>
      <c r="BF193" s="43">
        <v>253995</v>
      </c>
      <c r="BG193" s="43">
        <v>453593</v>
      </c>
      <c r="BH193" s="43">
        <v>340957</v>
      </c>
      <c r="BI193" s="43">
        <v>43466</v>
      </c>
      <c r="BJ193" s="43">
        <v>89874</v>
      </c>
      <c r="BK193" s="43">
        <v>174907</v>
      </c>
      <c r="BL193" s="43">
        <v>53693</v>
      </c>
      <c r="BM193" s="43">
        <v>60985</v>
      </c>
      <c r="BN193" s="43">
        <v>149947</v>
      </c>
      <c r="BO193" s="43">
        <v>154292</v>
      </c>
      <c r="BP193" s="43">
        <v>139487</v>
      </c>
      <c r="BQ193" s="43">
        <v>354218</v>
      </c>
      <c r="BR193" s="43">
        <v>112122</v>
      </c>
      <c r="BS193" s="43">
        <v>99295</v>
      </c>
      <c r="BT193" s="43">
        <v>109782</v>
      </c>
      <c r="BU193" s="43">
        <v>105190</v>
      </c>
      <c r="BV193" s="43">
        <v>302502</v>
      </c>
      <c r="BW193" s="43">
        <v>172276</v>
      </c>
      <c r="BX193" s="43">
        <f>133367-12238-16246-11382-4102-6447-3663-8377</f>
        <v>70912</v>
      </c>
      <c r="BY193" s="43">
        <f>195616-85765-10225</f>
        <v>99626</v>
      </c>
      <c r="BZ193" s="43">
        <f>42717-17521</f>
        <v>25196</v>
      </c>
      <c r="CA193" s="44">
        <f t="shared" si="18"/>
        <v>11648958</v>
      </c>
    </row>
    <row r="194" spans="1:79" x14ac:dyDescent="0.25">
      <c r="A194" s="54" t="s">
        <v>449</v>
      </c>
      <c r="B194" s="54" t="s">
        <v>450</v>
      </c>
      <c r="AM194" s="44"/>
      <c r="CA194" s="44">
        <f t="shared" si="18"/>
        <v>0</v>
      </c>
    </row>
    <row r="195" spans="1:79" x14ac:dyDescent="0.25">
      <c r="A195" s="54" t="s">
        <v>451</v>
      </c>
      <c r="B195" s="54" t="s">
        <v>452</v>
      </c>
      <c r="C195" s="43">
        <v>1290256</v>
      </c>
      <c r="D195" s="43">
        <v>9291378</v>
      </c>
      <c r="E195" s="43">
        <v>1267668</v>
      </c>
      <c r="F195" s="43">
        <v>1839972</v>
      </c>
      <c r="G195" s="43">
        <v>1045632</v>
      </c>
      <c r="H195" s="43">
        <v>1097622</v>
      </c>
      <c r="I195" s="43">
        <v>700198</v>
      </c>
      <c r="J195" s="43">
        <v>5530548</v>
      </c>
      <c r="K195" s="43">
        <v>1391990</v>
      </c>
      <c r="L195" s="43">
        <v>1650301</v>
      </c>
      <c r="M195" s="43">
        <v>1030672</v>
      </c>
      <c r="N195" s="43">
        <v>6920642</v>
      </c>
      <c r="O195" s="43">
        <v>10069517</v>
      </c>
      <c r="P195" s="43">
        <v>819853</v>
      </c>
      <c r="Q195" s="43">
        <f>24298511-161092-125696-67208-42673</f>
        <v>23901842</v>
      </c>
      <c r="R195" s="43">
        <v>3079428</v>
      </c>
      <c r="S195" s="43">
        <f>2472129-27138</f>
        <v>2444991</v>
      </c>
      <c r="T195" s="43">
        <v>3090787</v>
      </c>
      <c r="U195" s="37">
        <v>0</v>
      </c>
      <c r="V195" s="43">
        <v>3109640</v>
      </c>
      <c r="W195" s="43">
        <v>6049509</v>
      </c>
      <c r="X195" s="43">
        <v>955653</v>
      </c>
      <c r="Y195" s="43">
        <v>3737610</v>
      </c>
      <c r="Z195" s="43">
        <v>6399461</v>
      </c>
      <c r="AA195" s="43">
        <v>1242562</v>
      </c>
      <c r="AB195" s="43">
        <v>1085126</v>
      </c>
      <c r="AC195" s="43">
        <v>1438983</v>
      </c>
      <c r="AD195" s="43">
        <v>6767783</v>
      </c>
      <c r="AE195" s="43">
        <v>574317</v>
      </c>
      <c r="AF195" s="43">
        <v>1820777</v>
      </c>
      <c r="AG195" s="43">
        <v>511388</v>
      </c>
      <c r="AH195" s="43">
        <v>3740468</v>
      </c>
      <c r="AI195" s="43">
        <v>25121477</v>
      </c>
      <c r="AJ195" s="43">
        <v>3912477</v>
      </c>
      <c r="AK195" s="43">
        <v>719009</v>
      </c>
      <c r="AL195" s="43">
        <v>567586</v>
      </c>
      <c r="AM195" s="44">
        <v>1622658</v>
      </c>
      <c r="AN195" s="43">
        <f>17968443-81775-138566</f>
        <v>17748102</v>
      </c>
      <c r="AO195" s="37">
        <v>0</v>
      </c>
      <c r="AP195" s="43">
        <v>3286281</v>
      </c>
      <c r="AQ195" s="43">
        <v>3497910</v>
      </c>
      <c r="AR195" s="43">
        <v>2283402</v>
      </c>
      <c r="AS195" s="43">
        <v>1568038</v>
      </c>
      <c r="AT195" s="43">
        <v>1869245</v>
      </c>
      <c r="AU195" s="43">
        <v>4056390</v>
      </c>
      <c r="AV195" s="43">
        <v>3317680</v>
      </c>
      <c r="AW195" s="43">
        <v>751941</v>
      </c>
      <c r="AX195" s="43">
        <v>1725009</v>
      </c>
      <c r="AY195" s="43">
        <v>2672783</v>
      </c>
      <c r="AZ195" s="43">
        <v>760318</v>
      </c>
      <c r="BA195" s="43">
        <v>2818035</v>
      </c>
      <c r="BB195" s="43">
        <v>2458761</v>
      </c>
      <c r="BC195" s="43">
        <v>2010813</v>
      </c>
      <c r="BD195" s="43">
        <v>3215407</v>
      </c>
      <c r="BE195" s="43">
        <v>9911694</v>
      </c>
      <c r="BF195" s="43">
        <v>4242594</v>
      </c>
      <c r="BG195" s="43">
        <v>12983112</v>
      </c>
      <c r="BH195" s="43">
        <v>7024922</v>
      </c>
      <c r="BI195" s="43">
        <v>729931</v>
      </c>
      <c r="BJ195" s="43">
        <v>1545733</v>
      </c>
      <c r="BK195" s="43">
        <v>3107748</v>
      </c>
      <c r="BL195" s="43">
        <v>711537</v>
      </c>
      <c r="BM195" s="43">
        <v>801932</v>
      </c>
      <c r="BN195" s="43">
        <v>1775939</v>
      </c>
      <c r="BO195" s="43">
        <v>3990346</v>
      </c>
      <c r="BP195" s="43">
        <v>3740859</v>
      </c>
      <c r="BQ195" s="43">
        <v>7835473</v>
      </c>
      <c r="BR195" s="43">
        <v>1921048</v>
      </c>
      <c r="BS195" s="43">
        <v>3613284</v>
      </c>
      <c r="BT195" s="43">
        <v>1300856</v>
      </c>
      <c r="BU195" s="43">
        <v>936385</v>
      </c>
      <c r="BV195" s="43">
        <f>5097778-96971</f>
        <v>5000807</v>
      </c>
      <c r="BW195" s="43">
        <v>550870</v>
      </c>
      <c r="BX195" s="43">
        <f>7253224-22200-157627-22343-19422-359695-125036-125-46986-12412-97057-275726-8819-1194220-77579-43818-24757-135076-228098-53861-147606-245918</f>
        <v>3954843</v>
      </c>
      <c r="BY195" s="43">
        <f>9768061-53626-99185-109266-931421-3636-150000-70041-117574-132978-18918-161224-105058-151617-664572-152329-722486-150000-35607-63084-383745-47084-191199</f>
        <v>5253411</v>
      </c>
      <c r="BZ195" s="43">
        <f>520579-45123-73500-62621-80193</f>
        <v>259142</v>
      </c>
      <c r="CA195" s="44">
        <f t="shared" si="18"/>
        <v>281072362</v>
      </c>
    </row>
    <row r="196" spans="1:79" x14ac:dyDescent="0.25">
      <c r="A196" s="54" t="s">
        <v>453</v>
      </c>
      <c r="B196" s="54" t="s">
        <v>454</v>
      </c>
      <c r="C196" s="43">
        <v>50005</v>
      </c>
      <c r="D196" s="37">
        <v>0</v>
      </c>
      <c r="E196" s="43">
        <v>26793</v>
      </c>
      <c r="F196" s="37">
        <v>0</v>
      </c>
      <c r="G196" s="37">
        <v>0</v>
      </c>
      <c r="H196" s="43">
        <v>59172</v>
      </c>
      <c r="I196" s="37">
        <v>0</v>
      </c>
      <c r="J196" s="37">
        <v>0</v>
      </c>
      <c r="K196" s="43">
        <v>52793</v>
      </c>
      <c r="L196" s="43">
        <v>63768</v>
      </c>
      <c r="M196" s="43">
        <v>14040</v>
      </c>
      <c r="N196" s="37">
        <v>0</v>
      </c>
      <c r="O196" s="37">
        <v>0</v>
      </c>
      <c r="P196" s="43">
        <v>14207</v>
      </c>
      <c r="Q196" s="37">
        <v>0</v>
      </c>
      <c r="R196" s="37">
        <v>0</v>
      </c>
      <c r="S196" s="43">
        <v>127524</v>
      </c>
      <c r="T196" s="43">
        <v>100408</v>
      </c>
      <c r="U196" s="37">
        <v>0</v>
      </c>
      <c r="V196" s="43">
        <v>205682</v>
      </c>
      <c r="W196" s="37">
        <v>0</v>
      </c>
      <c r="X196" s="43">
        <v>42188</v>
      </c>
      <c r="Y196" s="43">
        <v>34077</v>
      </c>
      <c r="Z196" s="37">
        <v>0</v>
      </c>
      <c r="AA196" s="43">
        <v>22454</v>
      </c>
      <c r="AB196" s="43">
        <v>66524</v>
      </c>
      <c r="AC196" s="43">
        <v>44297</v>
      </c>
      <c r="AD196" s="43">
        <v>19099</v>
      </c>
      <c r="AE196" s="43">
        <v>27017</v>
      </c>
      <c r="AF196" s="43">
        <v>99050</v>
      </c>
      <c r="AG196" s="43">
        <v>19484</v>
      </c>
      <c r="AH196" s="37">
        <v>0</v>
      </c>
      <c r="AI196" s="37">
        <v>0</v>
      </c>
      <c r="AJ196" s="43">
        <v>197055</v>
      </c>
      <c r="AK196" s="43">
        <v>29354</v>
      </c>
      <c r="AL196" s="43">
        <v>37233</v>
      </c>
      <c r="AM196" s="44">
        <v>46582</v>
      </c>
      <c r="AN196" s="37">
        <v>0</v>
      </c>
      <c r="AO196" s="37">
        <v>0</v>
      </c>
      <c r="AP196" s="37">
        <v>0</v>
      </c>
      <c r="AQ196" s="37">
        <v>0</v>
      </c>
      <c r="AR196" s="43">
        <v>143014</v>
      </c>
      <c r="AS196" s="43">
        <v>76092</v>
      </c>
      <c r="AT196" s="43">
        <v>19116</v>
      </c>
      <c r="AU196" s="37">
        <v>0</v>
      </c>
      <c r="AV196" s="37">
        <v>0</v>
      </c>
      <c r="AW196" s="43">
        <v>30573</v>
      </c>
      <c r="AX196" s="37">
        <v>0</v>
      </c>
      <c r="AY196" s="37">
        <v>0</v>
      </c>
      <c r="AZ196" s="43">
        <v>20038</v>
      </c>
      <c r="BA196" s="43">
        <v>76432</v>
      </c>
      <c r="BB196" s="43">
        <v>97073</v>
      </c>
      <c r="BC196" s="43">
        <v>186884</v>
      </c>
      <c r="BD196" s="37">
        <v>0</v>
      </c>
      <c r="BE196" s="43">
        <v>331226</v>
      </c>
      <c r="BF196" s="37">
        <v>0</v>
      </c>
      <c r="BG196" s="37">
        <v>0</v>
      </c>
      <c r="BH196" s="37">
        <v>0</v>
      </c>
      <c r="BI196" s="43">
        <v>93379</v>
      </c>
      <c r="BJ196" s="37">
        <v>0</v>
      </c>
      <c r="BK196" s="37">
        <v>0</v>
      </c>
      <c r="BL196" s="37">
        <v>0</v>
      </c>
      <c r="BM196" s="37">
        <v>0</v>
      </c>
      <c r="BN196" s="37">
        <v>0</v>
      </c>
      <c r="BO196" s="37">
        <v>0</v>
      </c>
      <c r="BP196" s="37">
        <v>0</v>
      </c>
      <c r="BQ196" s="37">
        <v>0</v>
      </c>
      <c r="BR196" s="43">
        <v>80255</v>
      </c>
      <c r="BS196" s="43">
        <v>91966</v>
      </c>
      <c r="BT196" s="37">
        <v>0</v>
      </c>
      <c r="BU196" s="37">
        <v>0</v>
      </c>
      <c r="BV196" s="37">
        <v>0</v>
      </c>
      <c r="BW196" s="37">
        <v>0</v>
      </c>
      <c r="BX196" s="37">
        <v>0</v>
      </c>
      <c r="BY196" s="37">
        <v>0</v>
      </c>
      <c r="BZ196" s="37">
        <v>0</v>
      </c>
      <c r="CA196" s="44">
        <f t="shared" si="18"/>
        <v>2644854</v>
      </c>
    </row>
    <row r="197" spans="1:79" x14ac:dyDescent="0.25">
      <c r="A197" s="54" t="s">
        <v>455</v>
      </c>
      <c r="B197" s="54" t="s">
        <v>456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43">
        <v>139740</v>
      </c>
      <c r="M197" s="43">
        <v>10836</v>
      </c>
      <c r="N197" s="37">
        <v>0</v>
      </c>
      <c r="O197" s="37">
        <v>0</v>
      </c>
      <c r="P197" s="37">
        <v>0</v>
      </c>
      <c r="Q197" s="43">
        <f>113236-71867</f>
        <v>41369</v>
      </c>
      <c r="R197" s="43">
        <v>8172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43">
        <v>29234</v>
      </c>
      <c r="AE197" s="37">
        <v>0</v>
      </c>
      <c r="AF197" s="43">
        <v>264004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44">
        <v>0</v>
      </c>
      <c r="AN197" s="43">
        <f>306528-157772-148756</f>
        <v>0</v>
      </c>
      <c r="AO197" s="37">
        <v>0</v>
      </c>
      <c r="AP197" s="37">
        <v>0</v>
      </c>
      <c r="AQ197" s="37">
        <v>0</v>
      </c>
      <c r="AR197" s="37">
        <v>0</v>
      </c>
      <c r="AS197" s="37">
        <v>0</v>
      </c>
      <c r="AT197" s="43">
        <v>152202</v>
      </c>
      <c r="AU197" s="37">
        <v>0</v>
      </c>
      <c r="AV197" s="37">
        <v>0</v>
      </c>
      <c r="AW197" s="37">
        <v>0</v>
      </c>
      <c r="AX197" s="37">
        <v>0</v>
      </c>
      <c r="AY197" s="37">
        <v>0</v>
      </c>
      <c r="AZ197" s="37">
        <v>0</v>
      </c>
      <c r="BA197" s="37">
        <v>0</v>
      </c>
      <c r="BB197" s="37">
        <v>0</v>
      </c>
      <c r="BC197" s="37">
        <v>0</v>
      </c>
      <c r="BD197" s="37">
        <v>0</v>
      </c>
      <c r="BE197" s="37">
        <v>0</v>
      </c>
      <c r="BF197" s="37">
        <v>0</v>
      </c>
      <c r="BG197" s="37">
        <v>0</v>
      </c>
      <c r="BH197" s="37">
        <v>0</v>
      </c>
      <c r="BI197" s="37">
        <v>0</v>
      </c>
      <c r="BJ197" s="37">
        <v>0</v>
      </c>
      <c r="BK197" s="37">
        <v>0</v>
      </c>
      <c r="BL197" s="37">
        <v>0</v>
      </c>
      <c r="BM197" s="37">
        <v>0</v>
      </c>
      <c r="BN197" s="37">
        <v>0</v>
      </c>
      <c r="BO197" s="37">
        <v>0</v>
      </c>
      <c r="BP197" s="37">
        <v>0</v>
      </c>
      <c r="BQ197" s="37">
        <v>0</v>
      </c>
      <c r="BR197" s="37">
        <v>0</v>
      </c>
      <c r="BS197" s="37">
        <v>0</v>
      </c>
      <c r="BT197" s="37">
        <v>0</v>
      </c>
      <c r="BU197" s="37">
        <v>0</v>
      </c>
      <c r="BV197" s="37">
        <v>0</v>
      </c>
      <c r="BW197" s="37">
        <v>0</v>
      </c>
      <c r="BX197" s="37">
        <v>0</v>
      </c>
      <c r="BY197" s="37">
        <v>0</v>
      </c>
      <c r="BZ197" s="37">
        <v>0</v>
      </c>
      <c r="CA197" s="44">
        <f t="shared" si="18"/>
        <v>645557</v>
      </c>
    </row>
    <row r="198" spans="1:79" x14ac:dyDescent="0.25">
      <c r="A198" s="54" t="s">
        <v>457</v>
      </c>
      <c r="B198" s="54" t="s">
        <v>458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44">
        <v>0</v>
      </c>
      <c r="AN198" s="37">
        <v>0</v>
      </c>
      <c r="AO198" s="37">
        <v>0</v>
      </c>
      <c r="AP198" s="37">
        <v>0</v>
      </c>
      <c r="AQ198" s="37">
        <v>0</v>
      </c>
      <c r="AR198" s="37">
        <v>0</v>
      </c>
      <c r="AS198" s="37">
        <v>0</v>
      </c>
      <c r="AT198" s="37">
        <v>0</v>
      </c>
      <c r="AU198" s="37">
        <v>0</v>
      </c>
      <c r="AV198" s="37">
        <v>0</v>
      </c>
      <c r="AW198" s="37">
        <v>0</v>
      </c>
      <c r="AX198" s="37">
        <v>0</v>
      </c>
      <c r="AY198" s="37">
        <v>0</v>
      </c>
      <c r="AZ198" s="37">
        <v>0</v>
      </c>
      <c r="BA198" s="37">
        <v>0</v>
      </c>
      <c r="BB198" s="37">
        <v>0</v>
      </c>
      <c r="BC198" s="37">
        <v>0</v>
      </c>
      <c r="BD198" s="37">
        <v>0</v>
      </c>
      <c r="BE198" s="37">
        <v>0</v>
      </c>
      <c r="BF198" s="37">
        <v>0</v>
      </c>
      <c r="BG198" s="37">
        <v>0</v>
      </c>
      <c r="BH198" s="37">
        <v>0</v>
      </c>
      <c r="BI198" s="37">
        <v>0</v>
      </c>
      <c r="BJ198" s="37">
        <v>0</v>
      </c>
      <c r="BK198" s="37">
        <v>0</v>
      </c>
      <c r="BL198" s="37">
        <v>0</v>
      </c>
      <c r="BM198" s="37">
        <v>0</v>
      </c>
      <c r="BN198" s="37">
        <v>0</v>
      </c>
      <c r="BO198" s="37">
        <v>0</v>
      </c>
      <c r="BP198" s="37">
        <v>0</v>
      </c>
      <c r="BQ198" s="37">
        <v>0</v>
      </c>
      <c r="BR198" s="37">
        <v>0</v>
      </c>
      <c r="BS198" s="37">
        <v>0</v>
      </c>
      <c r="BT198" s="37">
        <v>0</v>
      </c>
      <c r="BU198" s="37">
        <v>0</v>
      </c>
      <c r="BV198" s="37">
        <v>0</v>
      </c>
      <c r="BW198" s="37">
        <v>0</v>
      </c>
      <c r="BX198" s="43">
        <v>1771724</v>
      </c>
      <c r="BY198" s="43">
        <f>79551-9711</f>
        <v>69840</v>
      </c>
      <c r="BZ198" s="37">
        <v>0</v>
      </c>
      <c r="CA198" s="44">
        <f t="shared" si="18"/>
        <v>1841564</v>
      </c>
    </row>
    <row r="199" spans="1:79" x14ac:dyDescent="0.25">
      <c r="A199" s="54" t="s">
        <v>459</v>
      </c>
      <c r="B199" s="54" t="s">
        <v>460</v>
      </c>
      <c r="C199" s="43">
        <v>9400</v>
      </c>
      <c r="D199" s="43">
        <v>122215</v>
      </c>
      <c r="E199" s="37">
        <v>836</v>
      </c>
      <c r="F199" s="43">
        <v>49087</v>
      </c>
      <c r="G199" s="37">
        <v>910</v>
      </c>
      <c r="H199" s="43">
        <v>8783</v>
      </c>
      <c r="I199" s="43">
        <v>3448</v>
      </c>
      <c r="J199" s="43">
        <v>68075</v>
      </c>
      <c r="K199" s="43">
        <v>4600</v>
      </c>
      <c r="L199" s="37">
        <v>0</v>
      </c>
      <c r="M199" s="37">
        <v>0</v>
      </c>
      <c r="N199" s="43">
        <v>368587</v>
      </c>
      <c r="O199" s="43">
        <v>269908</v>
      </c>
      <c r="P199" s="43">
        <v>4900</v>
      </c>
      <c r="Q199" s="43">
        <v>444163</v>
      </c>
      <c r="R199" s="43">
        <v>31708</v>
      </c>
      <c r="S199" s="43">
        <v>4410</v>
      </c>
      <c r="T199" s="43">
        <v>11404</v>
      </c>
      <c r="U199" s="37">
        <v>0</v>
      </c>
      <c r="V199" s="43">
        <v>95456</v>
      </c>
      <c r="W199" s="43">
        <v>16551</v>
      </c>
      <c r="X199" s="37">
        <v>0</v>
      </c>
      <c r="Y199" s="43">
        <v>12449</v>
      </c>
      <c r="Z199" s="43">
        <v>76850</v>
      </c>
      <c r="AA199" s="37">
        <v>964</v>
      </c>
      <c r="AB199" s="43">
        <v>4669</v>
      </c>
      <c r="AC199" s="43">
        <v>3052</v>
      </c>
      <c r="AD199" s="43">
        <v>45209</v>
      </c>
      <c r="AE199" s="43">
        <v>2738</v>
      </c>
      <c r="AF199" s="43">
        <v>26549</v>
      </c>
      <c r="AG199" s="37">
        <v>0</v>
      </c>
      <c r="AH199" s="43">
        <v>50154</v>
      </c>
      <c r="AI199" s="43">
        <v>762537</v>
      </c>
      <c r="AJ199" s="43">
        <v>86860</v>
      </c>
      <c r="AK199" s="37">
        <v>0</v>
      </c>
      <c r="AL199" s="37">
        <v>0</v>
      </c>
      <c r="AM199" s="44">
        <v>0</v>
      </c>
      <c r="AN199" s="43">
        <v>327810</v>
      </c>
      <c r="AO199" s="37">
        <v>0</v>
      </c>
      <c r="AP199" s="43">
        <v>48879</v>
      </c>
      <c r="AQ199" s="43">
        <v>87094</v>
      </c>
      <c r="AR199" s="43">
        <v>43070</v>
      </c>
      <c r="AS199" s="37">
        <v>0</v>
      </c>
      <c r="AT199" s="43">
        <v>2152</v>
      </c>
      <c r="AU199" s="43">
        <v>134778</v>
      </c>
      <c r="AV199" s="43">
        <v>304373</v>
      </c>
      <c r="AW199" s="43">
        <v>33860</v>
      </c>
      <c r="AX199" s="43">
        <v>52400</v>
      </c>
      <c r="AY199" s="43">
        <v>70074</v>
      </c>
      <c r="AZ199" s="37">
        <v>0</v>
      </c>
      <c r="BA199" s="43">
        <v>5794</v>
      </c>
      <c r="BB199" s="37">
        <v>0</v>
      </c>
      <c r="BC199" s="43">
        <v>58744</v>
      </c>
      <c r="BD199" s="43">
        <v>34429</v>
      </c>
      <c r="BE199" s="43">
        <v>38644</v>
      </c>
      <c r="BF199" s="43">
        <v>98325</v>
      </c>
      <c r="BG199" s="43">
        <v>92275</v>
      </c>
      <c r="BH199" s="43">
        <v>148033</v>
      </c>
      <c r="BI199" s="43">
        <v>53976</v>
      </c>
      <c r="BJ199" s="43">
        <v>31043</v>
      </c>
      <c r="BK199" s="43">
        <v>125716</v>
      </c>
      <c r="BL199" s="43">
        <v>9566</v>
      </c>
      <c r="BM199" s="43">
        <v>7514</v>
      </c>
      <c r="BN199" s="43">
        <v>88005</v>
      </c>
      <c r="BO199" s="43">
        <v>153276</v>
      </c>
      <c r="BP199" s="43">
        <v>52286</v>
      </c>
      <c r="BQ199" s="43">
        <v>25717</v>
      </c>
      <c r="BR199" s="37">
        <v>0</v>
      </c>
      <c r="BS199" s="37">
        <v>0</v>
      </c>
      <c r="BT199" s="43">
        <v>23224</v>
      </c>
      <c r="BU199" s="43">
        <v>25314</v>
      </c>
      <c r="BV199" s="43">
        <v>61162</v>
      </c>
      <c r="BW199" s="43">
        <v>72206</v>
      </c>
      <c r="BX199" s="43">
        <f>148434-4279-1158-2367-4567-376-4776-2080-2923-1510-4406-2528-893-23399-1048-2168-1056-162-5993-1239-978-1000-1111-1000</f>
        <v>77417</v>
      </c>
      <c r="BY199" s="43">
        <f>111298-13483</f>
        <v>97815</v>
      </c>
      <c r="BZ199" s="37">
        <v>0</v>
      </c>
      <c r="CA199" s="44">
        <f t="shared" ref="CA199:CA262" si="21">SUM(C199:BZ199)</f>
        <v>5071443</v>
      </c>
    </row>
    <row r="200" spans="1:79" x14ac:dyDescent="0.25">
      <c r="A200" s="54" t="s">
        <v>461</v>
      </c>
      <c r="B200" s="54" t="s">
        <v>462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43">
        <v>292335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44">
        <v>0</v>
      </c>
      <c r="AN200" s="37">
        <v>0</v>
      </c>
      <c r="AO200" s="37">
        <v>0</v>
      </c>
      <c r="AP200" s="37">
        <v>0</v>
      </c>
      <c r="AQ200" s="37">
        <v>0</v>
      </c>
      <c r="AR200" s="37">
        <v>0</v>
      </c>
      <c r="AS200" s="37">
        <v>0</v>
      </c>
      <c r="AT200" s="37">
        <v>0</v>
      </c>
      <c r="AU200" s="37">
        <v>0</v>
      </c>
      <c r="AV200" s="37">
        <v>0</v>
      </c>
      <c r="AW200" s="37">
        <v>0</v>
      </c>
      <c r="AX200" s="37">
        <v>0</v>
      </c>
      <c r="AY200" s="37">
        <v>0</v>
      </c>
      <c r="AZ200" s="37">
        <v>0</v>
      </c>
      <c r="BA200" s="37">
        <v>0</v>
      </c>
      <c r="BB200" s="37">
        <v>0</v>
      </c>
      <c r="BC200" s="37">
        <v>0</v>
      </c>
      <c r="BD200" s="37">
        <v>0</v>
      </c>
      <c r="BE200" s="37">
        <v>0</v>
      </c>
      <c r="BF200" s="37">
        <v>0</v>
      </c>
      <c r="BG200" s="37">
        <v>0</v>
      </c>
      <c r="BH200" s="37">
        <v>0</v>
      </c>
      <c r="BI200" s="37">
        <v>0</v>
      </c>
      <c r="BJ200" s="37">
        <v>0</v>
      </c>
      <c r="BK200" s="37">
        <v>0</v>
      </c>
      <c r="BL200" s="37">
        <v>0</v>
      </c>
      <c r="BM200" s="37">
        <v>0</v>
      </c>
      <c r="BN200" s="37">
        <v>0</v>
      </c>
      <c r="BO200" s="37">
        <v>0</v>
      </c>
      <c r="BP200" s="37">
        <v>0</v>
      </c>
      <c r="BQ200" s="37">
        <v>0</v>
      </c>
      <c r="BR200" s="37">
        <v>0</v>
      </c>
      <c r="BS200" s="37">
        <v>0</v>
      </c>
      <c r="BT200" s="37">
        <v>0</v>
      </c>
      <c r="BU200" s="37">
        <v>0</v>
      </c>
      <c r="BV200" s="37">
        <v>0</v>
      </c>
      <c r="BW200" s="37">
        <v>0</v>
      </c>
      <c r="BX200" s="43">
        <f>7656-7656</f>
        <v>0</v>
      </c>
      <c r="BY200" s="43">
        <f>39819-6319-17250-16250</f>
        <v>0</v>
      </c>
      <c r="BZ200" s="37">
        <v>0</v>
      </c>
      <c r="CA200" s="44">
        <f t="shared" si="21"/>
        <v>292335</v>
      </c>
    </row>
    <row r="201" spans="1:79" x14ac:dyDescent="0.25">
      <c r="A201" s="54" t="s">
        <v>463</v>
      </c>
      <c r="B201" s="54" t="s">
        <v>464</v>
      </c>
      <c r="C201" s="43">
        <v>25196</v>
      </c>
      <c r="D201" s="43">
        <v>1406</v>
      </c>
      <c r="E201" s="37">
        <v>0</v>
      </c>
      <c r="F201" s="43">
        <v>82265</v>
      </c>
      <c r="G201" s="37">
        <v>0</v>
      </c>
      <c r="H201" s="43">
        <v>43328</v>
      </c>
      <c r="I201" s="37">
        <v>0</v>
      </c>
      <c r="J201" s="43">
        <v>81343</v>
      </c>
      <c r="K201" s="37">
        <v>0</v>
      </c>
      <c r="L201" s="37">
        <v>0</v>
      </c>
      <c r="M201" s="37">
        <v>0</v>
      </c>
      <c r="N201" s="43">
        <v>80628</v>
      </c>
      <c r="O201" s="43">
        <v>169822</v>
      </c>
      <c r="P201" s="37">
        <v>0</v>
      </c>
      <c r="Q201" s="43">
        <v>28356</v>
      </c>
      <c r="R201" s="37">
        <v>0</v>
      </c>
      <c r="S201" s="37">
        <v>0</v>
      </c>
      <c r="T201" s="37">
        <v>0</v>
      </c>
      <c r="U201" s="37">
        <v>0</v>
      </c>
      <c r="V201" s="43">
        <v>27004</v>
      </c>
      <c r="W201" s="43">
        <v>5123</v>
      </c>
      <c r="X201" s="37">
        <v>0</v>
      </c>
      <c r="Y201" s="37">
        <v>0</v>
      </c>
      <c r="Z201" s="37">
        <v>0</v>
      </c>
      <c r="AA201" s="37">
        <v>0</v>
      </c>
      <c r="AB201" s="37">
        <v>6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43">
        <v>110142</v>
      </c>
      <c r="AJ201" s="43">
        <v>91184</v>
      </c>
      <c r="AK201" s="37">
        <v>0</v>
      </c>
      <c r="AL201" s="37">
        <v>0</v>
      </c>
      <c r="AM201" s="44">
        <v>3041</v>
      </c>
      <c r="AN201" s="37">
        <v>0</v>
      </c>
      <c r="AO201" s="37">
        <v>0</v>
      </c>
      <c r="AP201" s="37">
        <v>0</v>
      </c>
      <c r="AQ201" s="37">
        <v>0</v>
      </c>
      <c r="AR201" s="43">
        <v>79054</v>
      </c>
      <c r="AS201" s="37">
        <v>0</v>
      </c>
      <c r="AT201" s="37">
        <v>0</v>
      </c>
      <c r="AU201" s="43">
        <v>57798</v>
      </c>
      <c r="AV201" s="37">
        <v>0</v>
      </c>
      <c r="AW201" s="37">
        <v>0</v>
      </c>
      <c r="AX201" s="37">
        <v>0</v>
      </c>
      <c r="AY201" s="37">
        <v>0</v>
      </c>
      <c r="AZ201" s="37">
        <v>0</v>
      </c>
      <c r="BA201" s="37">
        <v>0</v>
      </c>
      <c r="BB201" s="37">
        <v>0</v>
      </c>
      <c r="BC201" s="37">
        <v>0</v>
      </c>
      <c r="BD201" s="37">
        <v>0</v>
      </c>
      <c r="BE201" s="37">
        <v>0</v>
      </c>
      <c r="BF201" s="43">
        <v>81504</v>
      </c>
      <c r="BG201" s="43">
        <v>92450</v>
      </c>
      <c r="BH201" s="43">
        <v>85780</v>
      </c>
      <c r="BI201" s="37">
        <v>0</v>
      </c>
      <c r="BJ201" s="37">
        <v>0</v>
      </c>
      <c r="BK201" s="43">
        <v>41203</v>
      </c>
      <c r="BL201" s="43">
        <v>90000</v>
      </c>
      <c r="BM201" s="37">
        <v>0</v>
      </c>
      <c r="BN201" s="37">
        <v>0</v>
      </c>
      <c r="BO201" s="37">
        <v>0</v>
      </c>
      <c r="BP201" s="37">
        <v>0</v>
      </c>
      <c r="BQ201" s="43">
        <v>9287</v>
      </c>
      <c r="BR201" s="37">
        <v>0</v>
      </c>
      <c r="BS201" s="37">
        <v>0</v>
      </c>
      <c r="BT201" s="37">
        <v>0</v>
      </c>
      <c r="BU201" s="37">
        <v>0</v>
      </c>
      <c r="BV201" s="37">
        <v>6</v>
      </c>
      <c r="BW201" s="37">
        <v>0</v>
      </c>
      <c r="BX201" s="43">
        <f>5272-6-5266</f>
        <v>0</v>
      </c>
      <c r="BY201" s="37">
        <f>6-6</f>
        <v>0</v>
      </c>
      <c r="BZ201" s="37">
        <v>0</v>
      </c>
      <c r="CA201" s="44">
        <f t="shared" si="21"/>
        <v>1285926</v>
      </c>
    </row>
    <row r="202" spans="1:79" x14ac:dyDescent="0.25">
      <c r="A202" s="54" t="s">
        <v>465</v>
      </c>
      <c r="B202" s="54" t="s">
        <v>466</v>
      </c>
      <c r="C202" s="43">
        <v>136328</v>
      </c>
      <c r="D202" s="43">
        <v>1268954</v>
      </c>
      <c r="E202" s="43">
        <v>85091</v>
      </c>
      <c r="F202" s="43">
        <v>269642</v>
      </c>
      <c r="G202" s="43">
        <v>164803</v>
      </c>
      <c r="H202" s="43">
        <v>135384</v>
      </c>
      <c r="I202" s="43">
        <v>167144</v>
      </c>
      <c r="J202" s="43">
        <v>751888</v>
      </c>
      <c r="K202" s="43">
        <v>143035</v>
      </c>
      <c r="L202" s="37">
        <v>0</v>
      </c>
      <c r="M202" s="43">
        <v>103022</v>
      </c>
      <c r="N202" s="43">
        <v>1172388</v>
      </c>
      <c r="O202" s="43">
        <v>987892</v>
      </c>
      <c r="P202" s="43">
        <v>103265</v>
      </c>
      <c r="Q202" s="43">
        <v>1891882</v>
      </c>
      <c r="R202" s="43">
        <v>354810</v>
      </c>
      <c r="S202" s="37">
        <v>0</v>
      </c>
      <c r="T202" s="43">
        <v>362667</v>
      </c>
      <c r="U202" s="37">
        <v>0</v>
      </c>
      <c r="V202" s="43">
        <v>281615</v>
      </c>
      <c r="W202" s="43">
        <v>640761</v>
      </c>
      <c r="X202" s="43">
        <v>104586</v>
      </c>
      <c r="Y202" s="43">
        <v>272957</v>
      </c>
      <c r="Z202" s="43">
        <v>670079</v>
      </c>
      <c r="AA202" s="43">
        <v>133734</v>
      </c>
      <c r="AB202" s="43">
        <v>172218</v>
      </c>
      <c r="AC202" s="43">
        <v>197687</v>
      </c>
      <c r="AD202" s="43">
        <v>692368</v>
      </c>
      <c r="AE202" s="43">
        <v>75299</v>
      </c>
      <c r="AF202" s="43">
        <v>217148</v>
      </c>
      <c r="AG202" s="43">
        <v>60261</v>
      </c>
      <c r="AH202" s="43">
        <f>315352-9170</f>
        <v>306182</v>
      </c>
      <c r="AI202" s="43">
        <v>2533922</v>
      </c>
      <c r="AJ202" s="43">
        <v>379004</v>
      </c>
      <c r="AK202" s="43">
        <v>44153</v>
      </c>
      <c r="AL202" s="43">
        <v>42951</v>
      </c>
      <c r="AM202" s="44">
        <v>224458</v>
      </c>
      <c r="AN202" s="43">
        <f>2342771-4000-5068</f>
        <v>2333703</v>
      </c>
      <c r="AO202" s="37">
        <v>0</v>
      </c>
      <c r="AP202" s="43">
        <v>496686</v>
      </c>
      <c r="AQ202" s="43">
        <v>738415</v>
      </c>
      <c r="AR202" s="43">
        <v>268136</v>
      </c>
      <c r="AS202" s="43">
        <v>162564</v>
      </c>
      <c r="AT202" s="43">
        <v>166798</v>
      </c>
      <c r="AU202" s="43">
        <v>660229</v>
      </c>
      <c r="AV202" s="43">
        <v>646600</v>
      </c>
      <c r="AW202" s="43">
        <v>104753</v>
      </c>
      <c r="AX202" s="43">
        <v>209999</v>
      </c>
      <c r="AY202" s="43">
        <v>595534</v>
      </c>
      <c r="AZ202" s="43">
        <v>30484</v>
      </c>
      <c r="BA202" s="43">
        <v>575416</v>
      </c>
      <c r="BB202" s="43">
        <v>243232</v>
      </c>
      <c r="BC202" s="43">
        <v>351614</v>
      </c>
      <c r="BD202" s="43">
        <v>428718</v>
      </c>
      <c r="BE202" s="43">
        <v>1303405</v>
      </c>
      <c r="BF202" s="43">
        <v>626832</v>
      </c>
      <c r="BG202" s="43">
        <v>1850048</v>
      </c>
      <c r="BH202" s="43">
        <v>892312</v>
      </c>
      <c r="BI202" s="43">
        <v>117330</v>
      </c>
      <c r="BJ202" s="43">
        <v>167258</v>
      </c>
      <c r="BK202" s="43">
        <v>354960</v>
      </c>
      <c r="BL202" s="43">
        <v>103860</v>
      </c>
      <c r="BM202" s="43">
        <v>131606</v>
      </c>
      <c r="BN202" s="43">
        <v>239803</v>
      </c>
      <c r="BO202" s="43">
        <v>416179</v>
      </c>
      <c r="BP202" s="43">
        <v>377052</v>
      </c>
      <c r="BQ202" s="43">
        <v>901984</v>
      </c>
      <c r="BR202" s="43">
        <v>262753</v>
      </c>
      <c r="BS202" s="43">
        <v>332711</v>
      </c>
      <c r="BT202" s="43">
        <v>214348</v>
      </c>
      <c r="BU202" s="43">
        <v>168151</v>
      </c>
      <c r="BV202" s="43">
        <v>749046</v>
      </c>
      <c r="BW202" s="43">
        <v>202769</v>
      </c>
      <c r="BX202" s="43">
        <f>1030766-4421-22323-7655-16185-8233-8319-16212-7954-17059-40895-17637-6678-10302-4500-10205-5671-52560-2174-9922-4890-55053-6189-6522-8597-9456-3630-8556-1135-8145-19861-10397-11936-6776-27367</f>
        <v>573351</v>
      </c>
      <c r="BY202" s="43">
        <f>690718-3664-14269-17000-17000-20000-18512-17250-16232-16363-13910-18000-15000-18000-20000-20000-13593-7918</f>
        <v>424007</v>
      </c>
      <c r="BZ202" s="43">
        <f>145779-12806-17370-15517</f>
        <v>100086</v>
      </c>
      <c r="CA202" s="44">
        <f t="shared" si="21"/>
        <v>33670310</v>
      </c>
    </row>
    <row r="203" spans="1:79" x14ac:dyDescent="0.25">
      <c r="A203" s="54" t="s">
        <v>467</v>
      </c>
      <c r="B203" s="54" t="s">
        <v>468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44">
        <v>0</v>
      </c>
      <c r="AN203" s="37">
        <v>0</v>
      </c>
      <c r="AO203" s="37">
        <v>0</v>
      </c>
      <c r="AP203" s="37">
        <v>0</v>
      </c>
      <c r="AQ203" s="37">
        <v>0</v>
      </c>
      <c r="AR203" s="43">
        <v>213091</v>
      </c>
      <c r="AS203" s="37">
        <v>0</v>
      </c>
      <c r="AT203" s="37">
        <v>0</v>
      </c>
      <c r="AU203" s="37">
        <v>0</v>
      </c>
      <c r="AV203" s="37">
        <v>0</v>
      </c>
      <c r="AW203" s="37">
        <v>0</v>
      </c>
      <c r="AX203" s="37">
        <v>0</v>
      </c>
      <c r="AY203" s="37">
        <v>0</v>
      </c>
      <c r="AZ203" s="37">
        <v>0</v>
      </c>
      <c r="BA203" s="37">
        <v>0</v>
      </c>
      <c r="BB203" s="37">
        <v>0</v>
      </c>
      <c r="BC203" s="37">
        <v>0</v>
      </c>
      <c r="BD203" s="37">
        <v>0</v>
      </c>
      <c r="BE203" s="37">
        <v>0</v>
      </c>
      <c r="BF203" s="37">
        <v>0</v>
      </c>
      <c r="BG203" s="37">
        <v>0</v>
      </c>
      <c r="BH203" s="37">
        <v>0</v>
      </c>
      <c r="BI203" s="37">
        <v>0</v>
      </c>
      <c r="BJ203" s="37">
        <v>0</v>
      </c>
      <c r="BK203" s="37">
        <v>0</v>
      </c>
      <c r="BL203" s="37">
        <v>0</v>
      </c>
      <c r="BM203" s="37">
        <v>0</v>
      </c>
      <c r="BN203" s="37">
        <v>0</v>
      </c>
      <c r="BO203" s="37">
        <v>0</v>
      </c>
      <c r="BP203" s="37">
        <v>0</v>
      </c>
      <c r="BQ203" s="37">
        <v>0</v>
      </c>
      <c r="BR203" s="37">
        <v>0</v>
      </c>
      <c r="BS203" s="37">
        <v>0</v>
      </c>
      <c r="BT203" s="37">
        <v>0</v>
      </c>
      <c r="BU203" s="37">
        <v>0</v>
      </c>
      <c r="BV203" s="37">
        <v>0</v>
      </c>
      <c r="BW203" s="37">
        <v>0</v>
      </c>
      <c r="BX203" s="37">
        <v>0</v>
      </c>
      <c r="BY203" s="43">
        <f>5007-5007</f>
        <v>0</v>
      </c>
      <c r="BZ203" s="37">
        <v>0</v>
      </c>
      <c r="CA203" s="44">
        <f t="shared" si="21"/>
        <v>213091</v>
      </c>
    </row>
    <row r="204" spans="1:79" x14ac:dyDescent="0.25">
      <c r="A204" s="54" t="s">
        <v>469</v>
      </c>
      <c r="B204" s="54" t="s">
        <v>232</v>
      </c>
      <c r="AM204" s="44"/>
      <c r="CA204" s="44">
        <f t="shared" si="21"/>
        <v>0</v>
      </c>
    </row>
    <row r="205" spans="1:79" x14ac:dyDescent="0.25">
      <c r="A205" s="54" t="s">
        <v>470</v>
      </c>
      <c r="B205" s="54" t="s">
        <v>471</v>
      </c>
      <c r="C205" s="43">
        <v>73003</v>
      </c>
      <c r="D205" s="43">
        <v>292363</v>
      </c>
      <c r="E205" s="37">
        <v>0</v>
      </c>
      <c r="F205" s="43">
        <v>122742</v>
      </c>
      <c r="G205" s="37">
        <v>0</v>
      </c>
      <c r="H205" s="37">
        <v>0</v>
      </c>
      <c r="I205" s="37">
        <v>0</v>
      </c>
      <c r="J205" s="43">
        <v>368296</v>
      </c>
      <c r="K205" s="43">
        <v>97929</v>
      </c>
      <c r="L205" s="37">
        <v>0</v>
      </c>
      <c r="M205" s="37">
        <v>0</v>
      </c>
      <c r="N205" s="43">
        <v>184643</v>
      </c>
      <c r="O205" s="43">
        <v>159391</v>
      </c>
      <c r="P205" s="37">
        <v>0</v>
      </c>
      <c r="Q205" s="43">
        <v>327595</v>
      </c>
      <c r="R205" s="43">
        <v>164721</v>
      </c>
      <c r="S205" s="43">
        <v>66899</v>
      </c>
      <c r="T205" s="43">
        <v>118911</v>
      </c>
      <c r="U205" s="37">
        <v>0</v>
      </c>
      <c r="V205" s="43">
        <v>76400</v>
      </c>
      <c r="W205" s="43">
        <v>206774</v>
      </c>
      <c r="X205" s="37">
        <v>0</v>
      </c>
      <c r="Y205" s="43">
        <v>66196</v>
      </c>
      <c r="Z205" s="43">
        <v>227013</v>
      </c>
      <c r="AA205" s="37">
        <v>0</v>
      </c>
      <c r="AB205" s="43">
        <v>126282</v>
      </c>
      <c r="AC205" s="43">
        <v>42869</v>
      </c>
      <c r="AD205" s="43">
        <v>255256</v>
      </c>
      <c r="AE205" s="37">
        <v>0</v>
      </c>
      <c r="AF205" s="37">
        <v>0</v>
      </c>
      <c r="AG205" s="37">
        <v>0</v>
      </c>
      <c r="AH205" s="43">
        <v>74349</v>
      </c>
      <c r="AI205" s="43">
        <v>586034</v>
      </c>
      <c r="AJ205" s="43">
        <v>141364</v>
      </c>
      <c r="AK205" s="37">
        <v>0</v>
      </c>
      <c r="AL205" s="37">
        <v>0</v>
      </c>
      <c r="AM205" s="44">
        <v>176294</v>
      </c>
      <c r="AN205" s="43">
        <v>560030</v>
      </c>
      <c r="AO205" s="37">
        <v>0</v>
      </c>
      <c r="AP205" s="43">
        <v>97719</v>
      </c>
      <c r="AQ205" s="43">
        <v>148937</v>
      </c>
      <c r="AR205" s="43">
        <v>143200</v>
      </c>
      <c r="AS205" s="37">
        <v>0</v>
      </c>
      <c r="AT205" s="37">
        <v>0</v>
      </c>
      <c r="AU205" s="43">
        <v>88970</v>
      </c>
      <c r="AV205" s="43">
        <v>168464</v>
      </c>
      <c r="AW205" s="43">
        <v>85109</v>
      </c>
      <c r="AX205" s="37">
        <v>0</v>
      </c>
      <c r="AY205" s="43">
        <v>55047</v>
      </c>
      <c r="AZ205" s="37">
        <v>0</v>
      </c>
      <c r="BA205" s="43">
        <v>62721</v>
      </c>
      <c r="BB205" s="43">
        <v>68100</v>
      </c>
      <c r="BC205" s="43">
        <v>136299</v>
      </c>
      <c r="BD205" s="43">
        <v>133991</v>
      </c>
      <c r="BE205" s="37">
        <v>0</v>
      </c>
      <c r="BF205" s="43">
        <v>223289</v>
      </c>
      <c r="BG205" s="43">
        <v>247674</v>
      </c>
      <c r="BH205" s="43">
        <v>199988</v>
      </c>
      <c r="BI205" s="43">
        <v>50208</v>
      </c>
      <c r="BJ205" s="37">
        <v>0</v>
      </c>
      <c r="BK205" s="37">
        <v>0</v>
      </c>
      <c r="BL205" s="37">
        <v>0</v>
      </c>
      <c r="BM205" s="37">
        <v>0</v>
      </c>
      <c r="BN205" s="37">
        <v>0</v>
      </c>
      <c r="BO205" s="37">
        <v>0</v>
      </c>
      <c r="BP205" s="43">
        <v>362059</v>
      </c>
      <c r="BQ205" s="43">
        <v>228464</v>
      </c>
      <c r="BR205" s="37">
        <v>0</v>
      </c>
      <c r="BS205" s="43">
        <v>56568</v>
      </c>
      <c r="BT205" s="37">
        <v>0</v>
      </c>
      <c r="BU205" s="43">
        <v>126097</v>
      </c>
      <c r="BV205" s="43">
        <v>220840</v>
      </c>
      <c r="BW205" s="37">
        <v>0</v>
      </c>
      <c r="BX205" s="37">
        <v>0</v>
      </c>
      <c r="BY205" s="37">
        <v>0</v>
      </c>
      <c r="BZ205" s="37">
        <v>0</v>
      </c>
      <c r="CA205" s="44">
        <f t="shared" si="21"/>
        <v>7419098</v>
      </c>
    </row>
    <row r="206" spans="1:79" x14ac:dyDescent="0.25">
      <c r="A206" s="54" t="s">
        <v>472</v>
      </c>
      <c r="B206" s="54" t="s">
        <v>473</v>
      </c>
      <c r="C206" s="37">
        <v>0</v>
      </c>
      <c r="D206" s="43">
        <v>26649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43">
        <v>30544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44">
        <v>0</v>
      </c>
      <c r="AN206" s="43">
        <v>37272</v>
      </c>
      <c r="AO206" s="37">
        <v>0</v>
      </c>
      <c r="AP206" s="37">
        <v>0</v>
      </c>
      <c r="AQ206" s="37">
        <v>0</v>
      </c>
      <c r="AR206" s="37">
        <v>0</v>
      </c>
      <c r="AS206" s="37">
        <v>0</v>
      </c>
      <c r="AT206" s="37">
        <v>0</v>
      </c>
      <c r="AU206" s="37">
        <v>0</v>
      </c>
      <c r="AV206" s="37">
        <v>0</v>
      </c>
      <c r="AW206" s="37">
        <v>0</v>
      </c>
      <c r="AX206" s="37">
        <v>0</v>
      </c>
      <c r="AY206" s="43">
        <v>29818</v>
      </c>
      <c r="AZ206" s="37">
        <v>0</v>
      </c>
      <c r="BA206" s="37">
        <v>0</v>
      </c>
      <c r="BB206" s="37">
        <v>0</v>
      </c>
      <c r="BC206" s="43">
        <v>30945</v>
      </c>
      <c r="BD206" s="37">
        <v>0</v>
      </c>
      <c r="BE206" s="37">
        <v>0</v>
      </c>
      <c r="BF206" s="43">
        <v>32332</v>
      </c>
      <c r="BG206" s="37">
        <v>0</v>
      </c>
      <c r="BH206" s="37">
        <v>0</v>
      </c>
      <c r="BI206" s="37">
        <v>0</v>
      </c>
      <c r="BJ206" s="37">
        <v>0</v>
      </c>
      <c r="BK206" s="37">
        <v>0</v>
      </c>
      <c r="BL206" s="37">
        <v>0</v>
      </c>
      <c r="BM206" s="37">
        <v>0</v>
      </c>
      <c r="BN206" s="37">
        <v>0</v>
      </c>
      <c r="BO206" s="37">
        <v>0</v>
      </c>
      <c r="BP206" s="43">
        <v>35957</v>
      </c>
      <c r="BQ206" s="43">
        <v>28107</v>
      </c>
      <c r="BR206" s="37">
        <v>0</v>
      </c>
      <c r="BS206" s="37">
        <v>0</v>
      </c>
      <c r="BT206" s="37">
        <v>0</v>
      </c>
      <c r="BU206" s="37">
        <v>0</v>
      </c>
      <c r="BV206" s="43">
        <v>29092</v>
      </c>
      <c r="BW206" s="37">
        <v>0</v>
      </c>
      <c r="BX206" s="37">
        <v>0</v>
      </c>
      <c r="BY206" s="37">
        <v>0</v>
      </c>
      <c r="BZ206" s="37">
        <v>0</v>
      </c>
      <c r="CA206" s="44">
        <f t="shared" si="21"/>
        <v>280716</v>
      </c>
    </row>
    <row r="207" spans="1:79" x14ac:dyDescent="0.25">
      <c r="A207" s="54" t="s">
        <v>474</v>
      </c>
      <c r="B207" s="54" t="s">
        <v>475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>
        <v>0</v>
      </c>
      <c r="AM207" s="44">
        <v>0</v>
      </c>
      <c r="AN207" s="37">
        <v>0</v>
      </c>
      <c r="AO207" s="37">
        <v>0</v>
      </c>
      <c r="AP207" s="37">
        <v>0</v>
      </c>
      <c r="AQ207" s="37">
        <v>0</v>
      </c>
      <c r="AR207" s="37">
        <v>0</v>
      </c>
      <c r="AS207" s="37">
        <v>0</v>
      </c>
      <c r="AT207" s="37">
        <v>0</v>
      </c>
      <c r="AU207" s="37">
        <v>0</v>
      </c>
      <c r="AV207" s="37">
        <v>0</v>
      </c>
      <c r="AW207" s="37">
        <v>0</v>
      </c>
      <c r="AX207" s="37">
        <v>0</v>
      </c>
      <c r="AY207" s="37">
        <v>0</v>
      </c>
      <c r="AZ207" s="37">
        <v>0</v>
      </c>
      <c r="BA207" s="43">
        <v>260645</v>
      </c>
      <c r="BB207" s="37">
        <v>0</v>
      </c>
      <c r="BC207" s="37">
        <v>0</v>
      </c>
      <c r="BD207" s="37">
        <v>0</v>
      </c>
      <c r="BE207" s="37">
        <v>0</v>
      </c>
      <c r="BF207" s="37">
        <v>0</v>
      </c>
      <c r="BG207" s="37">
        <v>0</v>
      </c>
      <c r="BH207" s="37">
        <v>0</v>
      </c>
      <c r="BI207" s="37">
        <v>0</v>
      </c>
      <c r="BJ207" s="37">
        <v>0</v>
      </c>
      <c r="BK207" s="37">
        <v>0</v>
      </c>
      <c r="BL207" s="37">
        <v>0</v>
      </c>
      <c r="BM207" s="37">
        <v>0</v>
      </c>
      <c r="BN207" s="37">
        <v>0</v>
      </c>
      <c r="BO207" s="37">
        <v>0</v>
      </c>
      <c r="BP207" s="37">
        <v>0</v>
      </c>
      <c r="BQ207" s="37">
        <v>0</v>
      </c>
      <c r="BR207" s="37">
        <v>0</v>
      </c>
      <c r="BS207" s="37">
        <v>0</v>
      </c>
      <c r="BT207" s="37">
        <v>0</v>
      </c>
      <c r="BU207" s="37">
        <v>0</v>
      </c>
      <c r="BV207" s="37">
        <v>0</v>
      </c>
      <c r="BW207" s="37">
        <v>0</v>
      </c>
      <c r="BX207" s="37">
        <v>0</v>
      </c>
      <c r="BY207" s="37">
        <v>0</v>
      </c>
      <c r="BZ207" s="37">
        <v>0</v>
      </c>
      <c r="CA207" s="44">
        <f t="shared" si="21"/>
        <v>260645</v>
      </c>
    </row>
    <row r="208" spans="1:79" x14ac:dyDescent="0.25">
      <c r="A208" s="54" t="s">
        <v>476</v>
      </c>
      <c r="B208" s="54" t="s">
        <v>477</v>
      </c>
      <c r="AM208" s="44"/>
      <c r="CA208" s="44">
        <f t="shared" si="21"/>
        <v>0</v>
      </c>
    </row>
    <row r="209" spans="1:79" x14ac:dyDescent="0.25">
      <c r="A209" s="54" t="s">
        <v>478</v>
      </c>
      <c r="B209" s="54" t="s">
        <v>479</v>
      </c>
      <c r="C209" s="43">
        <v>892840</v>
      </c>
      <c r="D209" s="43">
        <v>5123025</v>
      </c>
      <c r="E209" s="43">
        <v>493123</v>
      </c>
      <c r="F209" s="43">
        <v>2034054</v>
      </c>
      <c r="G209" s="43">
        <v>1003217</v>
      </c>
      <c r="H209" s="43">
        <v>806996</v>
      </c>
      <c r="I209" s="43">
        <v>845102</v>
      </c>
      <c r="J209" s="43">
        <v>2827061</v>
      </c>
      <c r="K209" s="43">
        <v>957739</v>
      </c>
      <c r="L209" s="43">
        <v>819238</v>
      </c>
      <c r="M209" s="43">
        <v>1496382</v>
      </c>
      <c r="N209" s="43">
        <f>6160469-143610</f>
        <v>6016859</v>
      </c>
      <c r="O209" s="43">
        <v>8275652</v>
      </c>
      <c r="P209" s="43">
        <v>826645</v>
      </c>
      <c r="Q209" s="43">
        <f>10166557-60964-95511-125993-12193-89414-52836-239793-182893-101901</f>
        <v>9205059</v>
      </c>
      <c r="R209" s="43">
        <v>1983114</v>
      </c>
      <c r="S209" s="43">
        <f>1625553-115030</f>
        <v>1510523</v>
      </c>
      <c r="T209" s="43">
        <v>1718942</v>
      </c>
      <c r="U209" s="37">
        <v>0</v>
      </c>
      <c r="V209" s="43">
        <v>1320165</v>
      </c>
      <c r="W209" s="43">
        <v>2486781</v>
      </c>
      <c r="X209" s="43">
        <v>600354</v>
      </c>
      <c r="Y209" s="43">
        <v>1145593</v>
      </c>
      <c r="Z209" s="43">
        <v>4933208</v>
      </c>
      <c r="AA209" s="43">
        <v>612030</v>
      </c>
      <c r="AB209" s="43">
        <v>1121914</v>
      </c>
      <c r="AC209" s="43">
        <v>764540</v>
      </c>
      <c r="AD209" s="43">
        <v>3991572</v>
      </c>
      <c r="AE209" s="43">
        <v>529104</v>
      </c>
      <c r="AF209" s="43">
        <v>1135946</v>
      </c>
      <c r="AG209" s="43">
        <v>512344</v>
      </c>
      <c r="AH209" s="43">
        <f>2415861-47324</f>
        <v>2368537</v>
      </c>
      <c r="AI209" s="43">
        <v>17089427</v>
      </c>
      <c r="AJ209" s="43">
        <v>2169065</v>
      </c>
      <c r="AK209" s="43">
        <v>489282</v>
      </c>
      <c r="AL209" s="43">
        <v>425615</v>
      </c>
      <c r="AM209" s="44">
        <v>1056945</v>
      </c>
      <c r="AN209" s="43">
        <f>9006361-30444-37477-354-38317-65000</f>
        <v>8834769</v>
      </c>
      <c r="AO209" s="37">
        <v>0</v>
      </c>
      <c r="AP209" s="43">
        <v>2262632</v>
      </c>
      <c r="AQ209" s="43">
        <f>3237535-23837</f>
        <v>3213698</v>
      </c>
      <c r="AR209" s="43">
        <v>1436754</v>
      </c>
      <c r="AS209" s="43">
        <v>1369220</v>
      </c>
      <c r="AT209" s="43">
        <v>457786</v>
      </c>
      <c r="AU209" s="43">
        <v>5170285</v>
      </c>
      <c r="AV209" s="43">
        <v>2400864</v>
      </c>
      <c r="AW209" s="43">
        <v>644033</v>
      </c>
      <c r="AX209" s="43">
        <v>1114069</v>
      </c>
      <c r="AY209" s="43">
        <v>3386538</v>
      </c>
      <c r="AZ209" s="43">
        <v>614821</v>
      </c>
      <c r="BA209" s="43">
        <v>1587809</v>
      </c>
      <c r="BB209" s="43">
        <v>1114085</v>
      </c>
      <c r="BC209" s="43">
        <v>1748769</v>
      </c>
      <c r="BD209" s="43">
        <v>2679637</v>
      </c>
      <c r="BE209" s="43">
        <v>3882518</v>
      </c>
      <c r="BF209" s="43">
        <v>2947150</v>
      </c>
      <c r="BG209" s="43">
        <f>5812486-3992</f>
        <v>5808494</v>
      </c>
      <c r="BH209" s="43">
        <v>4638802</v>
      </c>
      <c r="BI209" s="43">
        <v>809813</v>
      </c>
      <c r="BJ209" s="43">
        <v>1259029</v>
      </c>
      <c r="BK209" s="43">
        <v>2045589</v>
      </c>
      <c r="BL209" s="43">
        <v>769521</v>
      </c>
      <c r="BM209" s="43">
        <v>775460</v>
      </c>
      <c r="BN209" s="43">
        <v>1572750</v>
      </c>
      <c r="BO209" s="43">
        <v>2910522</v>
      </c>
      <c r="BP209" s="43">
        <v>1906219</v>
      </c>
      <c r="BQ209" s="43">
        <v>4409813</v>
      </c>
      <c r="BR209" s="43">
        <v>1278106</v>
      </c>
      <c r="BS209" s="43">
        <v>1794027</v>
      </c>
      <c r="BT209" s="43">
        <v>1346910</v>
      </c>
      <c r="BU209" s="43">
        <v>1538845</v>
      </c>
      <c r="BV209" s="43">
        <v>3101733</v>
      </c>
      <c r="BW209" s="43">
        <v>2861913</v>
      </c>
      <c r="BX209" s="43">
        <f>5033796-21983-130676-6649-30532-28089-6266-13434-65610-24425-77686-678-77711-678-51492-6408-8549-45133-678-33537-59842-46408-1417-163534-256522-52627-9770-206066-15877-3392-20762-69613-50072-7759-7328-118682-739-13434-35361-25647-113578-678-45187-89153-32976-30532-265016-23672</f>
        <v>2637938</v>
      </c>
      <c r="BY209" s="43">
        <f>6260365-7896-68391-23433-19358-74374-600698-117800-14263-10188-53997-52979-81940-41198-8400-22414-59092-51919-10200-1020969-486996-15282-18339-46866-52409-18471-72336-14200</f>
        <v>3195957</v>
      </c>
      <c r="BZ209" s="43">
        <f>598250-70000-163076-14947</f>
        <v>350227</v>
      </c>
      <c r="CA209" s="44">
        <f t="shared" si="21"/>
        <v>179465098</v>
      </c>
    </row>
    <row r="210" spans="1:79" x14ac:dyDescent="0.25">
      <c r="A210" s="54" t="s">
        <v>480</v>
      </c>
      <c r="B210" s="54" t="s">
        <v>481</v>
      </c>
      <c r="C210" s="37">
        <v>353</v>
      </c>
      <c r="D210" s="43">
        <v>197013</v>
      </c>
      <c r="E210" s="43">
        <v>18853</v>
      </c>
      <c r="F210" s="43">
        <v>73670</v>
      </c>
      <c r="G210" s="43">
        <v>72742</v>
      </c>
      <c r="H210" s="43">
        <v>28467</v>
      </c>
      <c r="I210" s="43">
        <v>39089</v>
      </c>
      <c r="J210" s="43">
        <v>120048</v>
      </c>
      <c r="K210" s="43">
        <v>34773</v>
      </c>
      <c r="L210" s="43">
        <v>35025</v>
      </c>
      <c r="M210" s="43">
        <v>181146</v>
      </c>
      <c r="N210" s="43">
        <v>179716</v>
      </c>
      <c r="O210" s="43">
        <v>386293</v>
      </c>
      <c r="P210" s="43">
        <v>27646</v>
      </c>
      <c r="Q210" s="43">
        <v>414060</v>
      </c>
      <c r="R210" s="43">
        <v>78350</v>
      </c>
      <c r="S210" s="43">
        <v>63262</v>
      </c>
      <c r="T210" s="43">
        <v>6027</v>
      </c>
      <c r="U210" s="37">
        <v>0</v>
      </c>
      <c r="V210" s="43">
        <v>63686</v>
      </c>
      <c r="W210" s="43">
        <v>86963</v>
      </c>
      <c r="X210" s="43">
        <v>18359</v>
      </c>
      <c r="Y210" s="43">
        <v>46877</v>
      </c>
      <c r="Z210" s="43">
        <v>233996</v>
      </c>
      <c r="AA210" s="43">
        <v>29494</v>
      </c>
      <c r="AB210" s="43">
        <v>39809</v>
      </c>
      <c r="AC210" s="43">
        <v>37213</v>
      </c>
      <c r="AD210" s="43">
        <v>218429</v>
      </c>
      <c r="AE210" s="43">
        <v>23840</v>
      </c>
      <c r="AF210" s="43">
        <v>46396</v>
      </c>
      <c r="AG210" s="43">
        <v>23835</v>
      </c>
      <c r="AH210" s="43">
        <v>43525</v>
      </c>
      <c r="AI210" s="43">
        <v>744293</v>
      </c>
      <c r="AJ210" s="43">
        <v>100121</v>
      </c>
      <c r="AK210" s="43">
        <v>18339</v>
      </c>
      <c r="AL210" s="43">
        <v>16667</v>
      </c>
      <c r="AM210" s="44">
        <v>101545</v>
      </c>
      <c r="AN210" s="43">
        <v>389260</v>
      </c>
      <c r="AO210" s="37">
        <v>0</v>
      </c>
      <c r="AP210" s="43">
        <v>93801</v>
      </c>
      <c r="AQ210" s="43">
        <v>109571</v>
      </c>
      <c r="AR210" s="43">
        <v>129255</v>
      </c>
      <c r="AS210" s="43">
        <v>65494</v>
      </c>
      <c r="AT210" s="43">
        <v>27070</v>
      </c>
      <c r="AU210" s="43">
        <v>266577</v>
      </c>
      <c r="AV210" s="43">
        <v>95459</v>
      </c>
      <c r="AW210" s="43">
        <v>44472</v>
      </c>
      <c r="AX210" s="43">
        <v>75422</v>
      </c>
      <c r="AY210" s="43">
        <v>180507</v>
      </c>
      <c r="AZ210" s="43">
        <v>17173</v>
      </c>
      <c r="BA210" s="43">
        <v>40010</v>
      </c>
      <c r="BB210" s="43">
        <v>66466</v>
      </c>
      <c r="BC210" s="43">
        <v>53266</v>
      </c>
      <c r="BD210" s="43">
        <v>123404</v>
      </c>
      <c r="BE210" s="43">
        <v>161349</v>
      </c>
      <c r="BF210" s="43">
        <v>136972</v>
      </c>
      <c r="BG210" s="43">
        <v>152318</v>
      </c>
      <c r="BH210" s="43">
        <v>248963</v>
      </c>
      <c r="BI210" s="43">
        <v>31228</v>
      </c>
      <c r="BJ210" s="43">
        <v>38355</v>
      </c>
      <c r="BK210" s="43">
        <v>97247</v>
      </c>
      <c r="BL210" s="43">
        <v>38985</v>
      </c>
      <c r="BM210" s="43">
        <v>37742</v>
      </c>
      <c r="BN210" s="43">
        <v>64192</v>
      </c>
      <c r="BO210" s="43">
        <v>111745</v>
      </c>
      <c r="BP210" s="43">
        <v>86629</v>
      </c>
      <c r="BQ210" s="43">
        <v>171057</v>
      </c>
      <c r="BR210" s="43">
        <v>77157</v>
      </c>
      <c r="BS210" s="43">
        <v>48661</v>
      </c>
      <c r="BT210" s="43">
        <v>52644</v>
      </c>
      <c r="BU210" s="43">
        <v>41730</v>
      </c>
      <c r="BV210" s="43">
        <v>145896</v>
      </c>
      <c r="BW210" s="43">
        <v>112068</v>
      </c>
      <c r="BX210" s="43">
        <f>95882-1105-2641-1155-43340-6078</f>
        <v>41563</v>
      </c>
      <c r="BY210" s="43">
        <f>8460-6200</f>
        <v>2260</v>
      </c>
      <c r="BZ210" s="43">
        <f>15633-7516</f>
        <v>8117</v>
      </c>
      <c r="CA210" s="44">
        <f t="shared" si="21"/>
        <v>7534005</v>
      </c>
    </row>
    <row r="211" spans="1:79" x14ac:dyDescent="0.25">
      <c r="A211" s="54" t="s">
        <v>482</v>
      </c>
      <c r="B211" s="54" t="s">
        <v>483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44">
        <v>0</v>
      </c>
      <c r="AN211" s="37">
        <v>0</v>
      </c>
      <c r="AO211" s="37">
        <v>0</v>
      </c>
      <c r="AP211" s="37">
        <v>0</v>
      </c>
      <c r="AQ211" s="37">
        <v>0</v>
      </c>
      <c r="AR211" s="37">
        <v>0</v>
      </c>
      <c r="AS211" s="37">
        <v>0</v>
      </c>
      <c r="AT211" s="37">
        <v>0</v>
      </c>
      <c r="AU211" s="37">
        <v>0</v>
      </c>
      <c r="AV211" s="37">
        <v>0</v>
      </c>
      <c r="AW211" s="37">
        <v>0</v>
      </c>
      <c r="AX211" s="37">
        <v>0</v>
      </c>
      <c r="AY211" s="37">
        <v>0</v>
      </c>
      <c r="AZ211" s="37">
        <v>0</v>
      </c>
      <c r="BA211" s="37">
        <v>0</v>
      </c>
      <c r="BB211" s="37">
        <v>0</v>
      </c>
      <c r="BC211" s="37">
        <v>0</v>
      </c>
      <c r="BD211" s="37">
        <v>0</v>
      </c>
      <c r="BE211" s="37">
        <v>0</v>
      </c>
      <c r="BF211" s="37">
        <v>0</v>
      </c>
      <c r="BG211" s="37">
        <v>0</v>
      </c>
      <c r="BH211" s="37">
        <v>0</v>
      </c>
      <c r="BI211" s="37">
        <v>0</v>
      </c>
      <c r="BJ211" s="37">
        <v>0</v>
      </c>
      <c r="BK211" s="37">
        <v>0</v>
      </c>
      <c r="BL211" s="37">
        <v>0</v>
      </c>
      <c r="BM211" s="37">
        <v>0</v>
      </c>
      <c r="BN211" s="37">
        <v>0</v>
      </c>
      <c r="BO211" s="37">
        <v>0</v>
      </c>
      <c r="BP211" s="37">
        <v>0</v>
      </c>
      <c r="BQ211" s="37">
        <v>0</v>
      </c>
      <c r="BR211" s="37">
        <v>0</v>
      </c>
      <c r="BS211" s="37">
        <v>0</v>
      </c>
      <c r="BT211" s="37">
        <v>0</v>
      </c>
      <c r="BU211" s="37">
        <v>0</v>
      </c>
      <c r="BV211" s="37">
        <v>0</v>
      </c>
      <c r="BW211" s="37">
        <v>0</v>
      </c>
      <c r="BX211" s="37">
        <v>0</v>
      </c>
      <c r="BY211" s="37">
        <v>0</v>
      </c>
      <c r="BZ211" s="37">
        <v>0</v>
      </c>
      <c r="CA211" s="44">
        <f t="shared" si="21"/>
        <v>0</v>
      </c>
    </row>
    <row r="212" spans="1:79" x14ac:dyDescent="0.25">
      <c r="A212" s="54" t="s">
        <v>484</v>
      </c>
      <c r="B212" s="54" t="s">
        <v>485</v>
      </c>
      <c r="AM212" s="44"/>
      <c r="CA212" s="44">
        <f t="shared" si="21"/>
        <v>0</v>
      </c>
    </row>
    <row r="213" spans="1:79" x14ac:dyDescent="0.25">
      <c r="A213" s="54" t="s">
        <v>486</v>
      </c>
      <c r="B213" s="54" t="s">
        <v>487</v>
      </c>
      <c r="C213" s="43">
        <v>1278979</v>
      </c>
      <c r="D213" s="43">
        <v>6880714</v>
      </c>
      <c r="E213" s="43">
        <v>681930</v>
      </c>
      <c r="F213" s="43">
        <v>3104165</v>
      </c>
      <c r="G213" s="43">
        <v>1336139</v>
      </c>
      <c r="H213" s="43">
        <v>1177262</v>
      </c>
      <c r="I213" s="43">
        <v>1061221</v>
      </c>
      <c r="J213" s="43">
        <v>5461331</v>
      </c>
      <c r="K213" s="43">
        <v>932095</v>
      </c>
      <c r="L213" s="43">
        <v>979452</v>
      </c>
      <c r="M213" s="43">
        <v>627606</v>
      </c>
      <c r="N213" s="43">
        <v>6724263</v>
      </c>
      <c r="O213" s="43">
        <v>11863811</v>
      </c>
      <c r="P213" s="43">
        <v>762720</v>
      </c>
      <c r="Q213" s="43">
        <v>15039386</v>
      </c>
      <c r="R213" s="43">
        <v>3808465</v>
      </c>
      <c r="S213" s="43">
        <v>1767858</v>
      </c>
      <c r="T213" s="43">
        <v>2908026</v>
      </c>
      <c r="U213" s="37">
        <v>0</v>
      </c>
      <c r="V213" s="43">
        <v>2508923</v>
      </c>
      <c r="W213" s="43">
        <v>4574464</v>
      </c>
      <c r="X213" s="43">
        <v>598767</v>
      </c>
      <c r="Y213" s="43">
        <v>2130684</v>
      </c>
      <c r="Z213" s="43">
        <v>6463429</v>
      </c>
      <c r="AA213" s="43">
        <v>1022535</v>
      </c>
      <c r="AB213" s="43">
        <v>1163299</v>
      </c>
      <c r="AC213" s="43">
        <v>1327071</v>
      </c>
      <c r="AD213" s="43">
        <v>6662430</v>
      </c>
      <c r="AE213" s="43">
        <v>529267</v>
      </c>
      <c r="AF213" s="43">
        <v>1667582</v>
      </c>
      <c r="AG213" s="43">
        <v>622636</v>
      </c>
      <c r="AH213" s="43">
        <v>3160158</v>
      </c>
      <c r="AI213" s="43">
        <v>26591619</v>
      </c>
      <c r="AJ213" s="43">
        <v>4459244</v>
      </c>
      <c r="AK213" s="43">
        <v>422329</v>
      </c>
      <c r="AL213" s="43">
        <v>727878</v>
      </c>
      <c r="AM213" s="44">
        <v>1247385</v>
      </c>
      <c r="AN213" s="43">
        <v>15172743</v>
      </c>
      <c r="AO213" s="37">
        <v>0</v>
      </c>
      <c r="AP213" s="43">
        <v>4074857</v>
      </c>
      <c r="AQ213" s="43">
        <v>3935515</v>
      </c>
      <c r="AR213" s="43">
        <v>3019155</v>
      </c>
      <c r="AS213" s="43">
        <v>2060073</v>
      </c>
      <c r="AT213" s="43">
        <v>840924</v>
      </c>
      <c r="AU213" s="43">
        <v>6238903</v>
      </c>
      <c r="AV213" s="43">
        <v>3322678</v>
      </c>
      <c r="AW213" s="43">
        <v>880574</v>
      </c>
      <c r="AX213" s="43">
        <v>1708262</v>
      </c>
      <c r="AY213" s="43">
        <v>4912250</v>
      </c>
      <c r="AZ213" s="43">
        <v>387356</v>
      </c>
      <c r="BA213" s="43">
        <v>2287189</v>
      </c>
      <c r="BB213" s="43">
        <v>1963249</v>
      </c>
      <c r="BC213" s="43">
        <v>2725951</v>
      </c>
      <c r="BD213" s="43">
        <v>3844474</v>
      </c>
      <c r="BE213" s="43">
        <v>5117785</v>
      </c>
      <c r="BF213" s="43">
        <v>5768780</v>
      </c>
      <c r="BG213" s="43">
        <v>10065985</v>
      </c>
      <c r="BH213" s="43">
        <v>8203929</v>
      </c>
      <c r="BI213" s="43">
        <v>1176274</v>
      </c>
      <c r="BJ213" s="43">
        <v>1629054</v>
      </c>
      <c r="BK213" s="43">
        <v>3802260</v>
      </c>
      <c r="BL213" s="43">
        <v>1042949</v>
      </c>
      <c r="BM213" s="43">
        <v>1244265</v>
      </c>
      <c r="BN213" s="43">
        <v>3216677</v>
      </c>
      <c r="BO213" s="43">
        <v>4246760</v>
      </c>
      <c r="BP213" s="43">
        <v>3282100</v>
      </c>
      <c r="BQ213" s="43">
        <v>7326373</v>
      </c>
      <c r="BR213" s="43">
        <v>1604251</v>
      </c>
      <c r="BS213" s="43">
        <v>1740303</v>
      </c>
      <c r="BT213" s="43">
        <v>1784151</v>
      </c>
      <c r="BU213" s="43">
        <v>1614240</v>
      </c>
      <c r="BV213" s="43">
        <v>5354074</v>
      </c>
      <c r="BW213" s="43">
        <v>2752432</v>
      </c>
      <c r="BX213" s="43">
        <v>1787663</v>
      </c>
      <c r="BY213" s="37">
        <v>0</v>
      </c>
      <c r="BZ213" s="37">
        <v>0</v>
      </c>
      <c r="CA213" s="44">
        <f t="shared" si="21"/>
        <v>262409581</v>
      </c>
    </row>
    <row r="214" spans="1:79" x14ac:dyDescent="0.25">
      <c r="A214" s="54" t="s">
        <v>1327</v>
      </c>
      <c r="B214" s="54" t="s">
        <v>1328</v>
      </c>
      <c r="C214" s="37">
        <v>0</v>
      </c>
      <c r="D214" s="43">
        <v>636554</v>
      </c>
      <c r="E214" s="43">
        <v>55889</v>
      </c>
      <c r="F214" s="43">
        <v>297805</v>
      </c>
      <c r="G214" s="43">
        <v>103459</v>
      </c>
      <c r="H214" s="43">
        <v>28037</v>
      </c>
      <c r="I214" s="43">
        <v>29577</v>
      </c>
      <c r="J214" s="43">
        <v>450847</v>
      </c>
      <c r="K214" s="43">
        <v>103139</v>
      </c>
      <c r="L214" s="43">
        <v>102196</v>
      </c>
      <c r="M214" s="43">
        <v>77965</v>
      </c>
      <c r="N214" s="43">
        <v>556290</v>
      </c>
      <c r="O214" s="43">
        <v>1022806</v>
      </c>
      <c r="P214" s="43">
        <v>91224</v>
      </c>
      <c r="Q214" s="43">
        <v>1398701</v>
      </c>
      <c r="R214" s="37">
        <v>0</v>
      </c>
      <c r="S214" s="43">
        <v>189425</v>
      </c>
      <c r="T214" s="43">
        <v>336420</v>
      </c>
      <c r="U214" s="37">
        <v>0</v>
      </c>
      <c r="V214" s="43">
        <v>144345</v>
      </c>
      <c r="W214" s="37">
        <v>0</v>
      </c>
      <c r="X214" s="43">
        <v>75343</v>
      </c>
      <c r="Y214" s="43">
        <v>115253</v>
      </c>
      <c r="Z214" s="43">
        <v>699673</v>
      </c>
      <c r="AA214" s="43">
        <v>65067</v>
      </c>
      <c r="AB214" s="43">
        <v>95677</v>
      </c>
      <c r="AC214" s="43">
        <v>124935</v>
      </c>
      <c r="AD214" s="43">
        <v>497699</v>
      </c>
      <c r="AE214" s="43">
        <v>60905</v>
      </c>
      <c r="AF214" s="43">
        <v>95216</v>
      </c>
      <c r="AG214" s="43">
        <v>67826</v>
      </c>
      <c r="AH214" s="43">
        <v>238264</v>
      </c>
      <c r="AI214" s="43">
        <v>2119324</v>
      </c>
      <c r="AJ214" s="43">
        <v>269499</v>
      </c>
      <c r="AK214" s="43">
        <v>56907</v>
      </c>
      <c r="AL214" s="37">
        <v>0</v>
      </c>
      <c r="AM214" s="44">
        <v>76806</v>
      </c>
      <c r="AN214" s="43">
        <v>1564430</v>
      </c>
      <c r="AO214" s="37">
        <v>0</v>
      </c>
      <c r="AP214" s="43">
        <v>305342</v>
      </c>
      <c r="AQ214" s="43">
        <v>392550</v>
      </c>
      <c r="AR214" s="43">
        <v>157522</v>
      </c>
      <c r="AS214" s="43">
        <v>85808</v>
      </c>
      <c r="AT214" s="43">
        <v>83812</v>
      </c>
      <c r="AU214" s="43">
        <v>824990</v>
      </c>
      <c r="AV214" s="43">
        <v>250551</v>
      </c>
      <c r="AW214" s="43">
        <v>104425</v>
      </c>
      <c r="AX214" s="43">
        <v>103133</v>
      </c>
      <c r="AY214" s="43">
        <v>483257</v>
      </c>
      <c r="AZ214" s="43">
        <v>49240</v>
      </c>
      <c r="BA214" s="43">
        <v>38497</v>
      </c>
      <c r="BB214" s="37">
        <v>0</v>
      </c>
      <c r="BC214" s="43">
        <v>165900</v>
      </c>
      <c r="BD214" s="43">
        <v>289318</v>
      </c>
      <c r="BE214" s="43">
        <v>326960</v>
      </c>
      <c r="BF214" s="43">
        <v>599620</v>
      </c>
      <c r="BG214" s="43">
        <v>611537</v>
      </c>
      <c r="BH214" s="43">
        <v>778328</v>
      </c>
      <c r="BI214" s="43">
        <v>134848</v>
      </c>
      <c r="BJ214" s="43">
        <v>151828</v>
      </c>
      <c r="BK214" s="43">
        <v>309382</v>
      </c>
      <c r="BL214" s="43">
        <v>134894</v>
      </c>
      <c r="BM214" s="43">
        <v>148178</v>
      </c>
      <c r="BN214" s="43">
        <v>278771</v>
      </c>
      <c r="BO214" s="43">
        <v>344222</v>
      </c>
      <c r="BP214" s="43">
        <v>113273</v>
      </c>
      <c r="BQ214" s="43">
        <v>421819</v>
      </c>
      <c r="BR214" s="43">
        <v>158971</v>
      </c>
      <c r="BS214" s="43">
        <v>155260</v>
      </c>
      <c r="BT214" s="43">
        <v>147436</v>
      </c>
      <c r="BU214" s="43">
        <v>250275</v>
      </c>
      <c r="BV214" s="43">
        <v>475666</v>
      </c>
      <c r="BW214" s="37">
        <v>0</v>
      </c>
      <c r="BX214" s="43">
        <v>196159</v>
      </c>
      <c r="BY214" s="37">
        <v>0</v>
      </c>
      <c r="BZ214" s="37">
        <v>0</v>
      </c>
      <c r="CA214" s="44">
        <f t="shared" si="21"/>
        <v>20919275</v>
      </c>
    </row>
    <row r="215" spans="1:79" x14ac:dyDescent="0.25">
      <c r="A215" s="54" t="s">
        <v>488</v>
      </c>
      <c r="B215" s="54" t="s">
        <v>489</v>
      </c>
      <c r="C215" s="43">
        <v>419767</v>
      </c>
      <c r="D215" s="43">
        <v>2353324</v>
      </c>
      <c r="E215" s="43">
        <v>298968</v>
      </c>
      <c r="F215" s="43">
        <v>919704</v>
      </c>
      <c r="G215" s="43">
        <v>427826</v>
      </c>
      <c r="H215" s="43">
        <v>590786</v>
      </c>
      <c r="I215" s="43">
        <v>344788</v>
      </c>
      <c r="J215" s="43">
        <v>2313212</v>
      </c>
      <c r="K215" s="43">
        <v>272137</v>
      </c>
      <c r="L215" s="43">
        <v>524001</v>
      </c>
      <c r="M215" s="43">
        <v>309500</v>
      </c>
      <c r="N215" s="43">
        <v>1867091</v>
      </c>
      <c r="O215" s="43">
        <v>3674385</v>
      </c>
      <c r="P215" s="43">
        <v>271074</v>
      </c>
      <c r="Q215" s="43">
        <v>5606534</v>
      </c>
      <c r="R215" s="43">
        <v>1519468</v>
      </c>
      <c r="S215" s="43">
        <v>654574</v>
      </c>
      <c r="T215" s="43">
        <v>1966326</v>
      </c>
      <c r="U215" s="37">
        <v>0</v>
      </c>
      <c r="V215" s="43">
        <v>929199</v>
      </c>
      <c r="W215" s="43">
        <v>2294163</v>
      </c>
      <c r="X215" s="43">
        <v>504368</v>
      </c>
      <c r="Y215" s="43">
        <v>1324175</v>
      </c>
      <c r="Z215" s="43">
        <v>2100362</v>
      </c>
      <c r="AA215" s="43">
        <v>367061</v>
      </c>
      <c r="AB215" s="43">
        <v>350836</v>
      </c>
      <c r="AC215" s="43">
        <v>576731</v>
      </c>
      <c r="AD215" s="43">
        <v>2403739</v>
      </c>
      <c r="AE215" s="43">
        <v>189277</v>
      </c>
      <c r="AF215" s="43">
        <v>661990</v>
      </c>
      <c r="AG215" s="43">
        <v>254653</v>
      </c>
      <c r="AH215" s="43">
        <v>1279657</v>
      </c>
      <c r="AI215" s="43">
        <v>8621491</v>
      </c>
      <c r="AJ215" s="43">
        <v>1593606</v>
      </c>
      <c r="AK215" s="43">
        <v>135441</v>
      </c>
      <c r="AL215" s="43">
        <v>246972</v>
      </c>
      <c r="AM215" s="44">
        <v>427764</v>
      </c>
      <c r="AN215" s="43">
        <v>4696142</v>
      </c>
      <c r="AO215" s="37">
        <v>0</v>
      </c>
      <c r="AP215" s="43">
        <v>2386396</v>
      </c>
      <c r="AQ215" s="43">
        <v>920273</v>
      </c>
      <c r="AR215" s="43">
        <v>1424904</v>
      </c>
      <c r="AS215" s="43">
        <v>1150971</v>
      </c>
      <c r="AT215" s="43">
        <v>286274</v>
      </c>
      <c r="AU215" s="43">
        <v>2061696</v>
      </c>
      <c r="AV215" s="43">
        <v>1252306</v>
      </c>
      <c r="AW215" s="43">
        <v>465766</v>
      </c>
      <c r="AX215" s="43">
        <v>948190</v>
      </c>
      <c r="AY215" s="43">
        <v>1643730</v>
      </c>
      <c r="AZ215" s="43">
        <v>168202</v>
      </c>
      <c r="BA215" s="43">
        <v>853049</v>
      </c>
      <c r="BB215" s="43">
        <v>683667</v>
      </c>
      <c r="BC215" s="43">
        <v>1289310</v>
      </c>
      <c r="BD215" s="43">
        <v>1312960</v>
      </c>
      <c r="BE215" s="43">
        <v>2101047</v>
      </c>
      <c r="BF215" s="43">
        <v>2266398</v>
      </c>
      <c r="BG215" s="43">
        <v>3752927</v>
      </c>
      <c r="BH215" s="43">
        <v>2393221</v>
      </c>
      <c r="BI215" s="43">
        <v>314335</v>
      </c>
      <c r="BJ215" s="43">
        <v>933012</v>
      </c>
      <c r="BK215" s="43">
        <v>981193</v>
      </c>
      <c r="BL215" s="43">
        <v>333606</v>
      </c>
      <c r="BM215" s="43">
        <v>390405</v>
      </c>
      <c r="BN215" s="43">
        <v>904947</v>
      </c>
      <c r="BO215" s="43">
        <v>1523989</v>
      </c>
      <c r="BP215" s="43">
        <v>1366885</v>
      </c>
      <c r="BQ215" s="43">
        <v>2449663</v>
      </c>
      <c r="BR215" s="43">
        <v>494672</v>
      </c>
      <c r="BS215" s="43">
        <v>761016</v>
      </c>
      <c r="BT215" s="43">
        <v>772885</v>
      </c>
      <c r="BU215" s="43">
        <v>297121</v>
      </c>
      <c r="BV215" s="43">
        <v>1621734</v>
      </c>
      <c r="BW215" s="43">
        <v>661447</v>
      </c>
      <c r="BX215" s="43">
        <v>572191</v>
      </c>
      <c r="BY215" s="43">
        <v>9687</v>
      </c>
      <c r="BZ215" s="37">
        <v>0</v>
      </c>
      <c r="CA215" s="44">
        <f t="shared" si="21"/>
        <v>95041167</v>
      </c>
    </row>
    <row r="216" spans="1:79" x14ac:dyDescent="0.25">
      <c r="A216" s="54" t="s">
        <v>490</v>
      </c>
      <c r="B216" s="54" t="s">
        <v>491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43">
        <v>122074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>
        <v>0</v>
      </c>
      <c r="AM216" s="44">
        <v>0</v>
      </c>
      <c r="AN216" s="37">
        <v>0</v>
      </c>
      <c r="AO216" s="37">
        <v>0</v>
      </c>
      <c r="AP216" s="37">
        <v>0</v>
      </c>
      <c r="AQ216" s="37">
        <v>0</v>
      </c>
      <c r="AR216" s="37">
        <v>0</v>
      </c>
      <c r="AS216" s="37">
        <v>0</v>
      </c>
      <c r="AT216" s="37">
        <v>0</v>
      </c>
      <c r="AU216" s="37">
        <v>0</v>
      </c>
      <c r="AV216" s="37">
        <v>0</v>
      </c>
      <c r="AW216" s="43">
        <v>77030</v>
      </c>
      <c r="AX216" s="37">
        <v>0</v>
      </c>
      <c r="AY216" s="37">
        <v>0</v>
      </c>
      <c r="AZ216" s="37">
        <v>0</v>
      </c>
      <c r="BA216" s="37">
        <v>0</v>
      </c>
      <c r="BB216" s="37">
        <v>0</v>
      </c>
      <c r="BC216" s="37">
        <v>0</v>
      </c>
      <c r="BD216" s="37">
        <v>0</v>
      </c>
      <c r="BE216" s="37">
        <v>0</v>
      </c>
      <c r="BF216" s="37">
        <v>0</v>
      </c>
      <c r="BG216" s="37">
        <v>0</v>
      </c>
      <c r="BH216" s="37">
        <v>0</v>
      </c>
      <c r="BI216" s="37">
        <v>0</v>
      </c>
      <c r="BJ216" s="37">
        <v>0</v>
      </c>
      <c r="BK216" s="37">
        <v>0</v>
      </c>
      <c r="BL216" s="37">
        <v>0</v>
      </c>
      <c r="BM216" s="37">
        <v>0</v>
      </c>
      <c r="BN216" s="37">
        <v>0</v>
      </c>
      <c r="BO216" s="37">
        <v>0</v>
      </c>
      <c r="BP216" s="37">
        <v>0</v>
      </c>
      <c r="BQ216" s="37">
        <v>0</v>
      </c>
      <c r="BR216" s="37">
        <v>0</v>
      </c>
      <c r="BS216" s="37">
        <v>0</v>
      </c>
      <c r="BT216" s="37">
        <v>0</v>
      </c>
      <c r="BU216" s="37">
        <v>0</v>
      </c>
      <c r="BV216" s="37">
        <v>0</v>
      </c>
      <c r="BW216" s="37">
        <v>0</v>
      </c>
      <c r="BX216" s="37">
        <v>0</v>
      </c>
      <c r="BY216" s="37">
        <v>0</v>
      </c>
      <c r="BZ216" s="37">
        <v>0</v>
      </c>
      <c r="CA216" s="44">
        <f t="shared" si="21"/>
        <v>199104</v>
      </c>
    </row>
    <row r="217" spans="1:79" x14ac:dyDescent="0.25">
      <c r="A217" s="54" t="s">
        <v>492</v>
      </c>
      <c r="B217" s="54" t="s">
        <v>493</v>
      </c>
      <c r="C217" s="37">
        <v>0</v>
      </c>
      <c r="D217" s="43">
        <v>362793</v>
      </c>
      <c r="E217" s="43">
        <v>16486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43">
        <v>9602</v>
      </c>
      <c r="M217" s="37">
        <v>0</v>
      </c>
      <c r="N217" s="43">
        <v>59519</v>
      </c>
      <c r="O217" s="43">
        <v>24996</v>
      </c>
      <c r="P217" s="43">
        <v>54738</v>
      </c>
      <c r="Q217" s="43">
        <v>642016</v>
      </c>
      <c r="R217" s="43">
        <v>218706</v>
      </c>
      <c r="S217" s="43">
        <v>86774</v>
      </c>
      <c r="T217" s="43">
        <v>52550</v>
      </c>
      <c r="U217" s="37">
        <v>0</v>
      </c>
      <c r="V217" s="43">
        <v>116965</v>
      </c>
      <c r="W217" s="43">
        <v>231595</v>
      </c>
      <c r="X217" s="37">
        <v>0</v>
      </c>
      <c r="Y217" s="43">
        <v>121255</v>
      </c>
      <c r="Z217" s="37">
        <v>0</v>
      </c>
      <c r="AA217" s="43">
        <v>33444</v>
      </c>
      <c r="AB217" s="37">
        <v>0</v>
      </c>
      <c r="AC217" s="43">
        <v>95487</v>
      </c>
      <c r="AD217" s="43">
        <v>219207</v>
      </c>
      <c r="AE217" s="37">
        <v>0</v>
      </c>
      <c r="AF217" s="37">
        <v>0</v>
      </c>
      <c r="AG217" s="37">
        <v>0</v>
      </c>
      <c r="AH217" s="43">
        <v>182731</v>
      </c>
      <c r="AI217" s="43">
        <v>260682</v>
      </c>
      <c r="AJ217" s="43">
        <v>33521</v>
      </c>
      <c r="AK217" s="37">
        <v>0</v>
      </c>
      <c r="AL217" s="37">
        <v>0</v>
      </c>
      <c r="AM217" s="44">
        <v>32992</v>
      </c>
      <c r="AN217" s="37">
        <v>0</v>
      </c>
      <c r="AO217" s="37">
        <v>0</v>
      </c>
      <c r="AP217" s="37">
        <v>0</v>
      </c>
      <c r="AQ217" s="37">
        <v>0</v>
      </c>
      <c r="AR217" s="43">
        <v>71945</v>
      </c>
      <c r="AS217" s="43">
        <v>76352</v>
      </c>
      <c r="AT217" s="37">
        <v>0</v>
      </c>
      <c r="AU217" s="37">
        <v>0</v>
      </c>
      <c r="AV217" s="37">
        <v>0</v>
      </c>
      <c r="AW217" s="43">
        <v>58510</v>
      </c>
      <c r="AX217" s="43">
        <v>15663</v>
      </c>
      <c r="AY217" s="37">
        <v>0</v>
      </c>
      <c r="AZ217" s="37">
        <v>0</v>
      </c>
      <c r="BA217" s="37">
        <v>0</v>
      </c>
      <c r="BB217" s="43">
        <v>121365</v>
      </c>
      <c r="BC217" s="37">
        <v>0</v>
      </c>
      <c r="BD217" s="37">
        <v>0</v>
      </c>
      <c r="BE217" s="43">
        <v>134154</v>
      </c>
      <c r="BF217" s="37">
        <v>0</v>
      </c>
      <c r="BG217" s="43">
        <v>139773</v>
      </c>
      <c r="BH217" s="43">
        <v>65739</v>
      </c>
      <c r="BI217" s="37">
        <v>0</v>
      </c>
      <c r="BJ217" s="37">
        <v>0</v>
      </c>
      <c r="BK217" s="43">
        <v>145554</v>
      </c>
      <c r="BL217" s="37">
        <v>0</v>
      </c>
      <c r="BM217" s="43">
        <v>81363</v>
      </c>
      <c r="BN217" s="37">
        <v>0</v>
      </c>
      <c r="BO217" s="37">
        <v>0</v>
      </c>
      <c r="BP217" s="43">
        <v>197754</v>
      </c>
      <c r="BQ217" s="43">
        <v>183301</v>
      </c>
      <c r="BR217" s="37">
        <v>0</v>
      </c>
      <c r="BS217" s="43">
        <v>100922</v>
      </c>
      <c r="BT217" s="37">
        <v>0</v>
      </c>
      <c r="BU217" s="37">
        <v>0</v>
      </c>
      <c r="BV217" s="37">
        <v>0</v>
      </c>
      <c r="BW217" s="37">
        <v>0</v>
      </c>
      <c r="BX217" s="43">
        <v>28133</v>
      </c>
      <c r="BY217" s="37">
        <v>0</v>
      </c>
      <c r="BZ217" s="37">
        <v>0</v>
      </c>
      <c r="CA217" s="44">
        <f t="shared" si="21"/>
        <v>4276587</v>
      </c>
    </row>
    <row r="218" spans="1:79" x14ac:dyDescent="0.25">
      <c r="A218" s="54" t="s">
        <v>494</v>
      </c>
      <c r="B218" s="54" t="s">
        <v>495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43">
        <v>61227</v>
      </c>
      <c r="K218" s="37">
        <v>0</v>
      </c>
      <c r="L218" s="43">
        <v>24145</v>
      </c>
      <c r="M218" s="43">
        <v>25000</v>
      </c>
      <c r="N218" s="43">
        <v>253359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43">
        <v>30581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44">
        <v>0</v>
      </c>
      <c r="AN218" s="37">
        <v>0</v>
      </c>
      <c r="AO218" s="37">
        <v>0</v>
      </c>
      <c r="AP218" s="43">
        <v>9587</v>
      </c>
      <c r="AQ218" s="37">
        <v>0</v>
      </c>
      <c r="AR218" s="37">
        <v>0</v>
      </c>
      <c r="AS218" s="37">
        <v>0</v>
      </c>
      <c r="AT218" s="37">
        <v>0</v>
      </c>
      <c r="AU218" s="37">
        <v>0</v>
      </c>
      <c r="AV218" s="37">
        <v>0</v>
      </c>
      <c r="AW218" s="37">
        <v>0</v>
      </c>
      <c r="AX218" s="37">
        <v>0</v>
      </c>
      <c r="AY218" s="43">
        <v>40245</v>
      </c>
      <c r="AZ218" s="37">
        <v>0</v>
      </c>
      <c r="BA218" s="37">
        <v>0</v>
      </c>
      <c r="BB218" s="37">
        <v>0</v>
      </c>
      <c r="BC218" s="37">
        <v>0</v>
      </c>
      <c r="BD218" s="37">
        <v>0</v>
      </c>
      <c r="BE218" s="37">
        <v>0</v>
      </c>
      <c r="BF218" s="37">
        <v>0</v>
      </c>
      <c r="BG218" s="43">
        <v>408881</v>
      </c>
      <c r="BH218" s="43">
        <v>24345</v>
      </c>
      <c r="BI218" s="43">
        <v>25000</v>
      </c>
      <c r="BJ218" s="37">
        <v>0</v>
      </c>
      <c r="BK218" s="43">
        <v>45443</v>
      </c>
      <c r="BL218" s="37">
        <v>0</v>
      </c>
      <c r="BM218" s="37">
        <v>0</v>
      </c>
      <c r="BN218" s="37">
        <v>0</v>
      </c>
      <c r="BO218" s="37">
        <v>0</v>
      </c>
      <c r="BP218" s="37">
        <v>0</v>
      </c>
      <c r="BQ218" s="37">
        <v>0</v>
      </c>
      <c r="BR218" s="37">
        <v>0</v>
      </c>
      <c r="BS218" s="43">
        <v>24992</v>
      </c>
      <c r="BT218" s="43">
        <v>18591</v>
      </c>
      <c r="BU218" s="37">
        <v>0</v>
      </c>
      <c r="BV218" s="37">
        <v>0</v>
      </c>
      <c r="BW218" s="37">
        <v>0</v>
      </c>
      <c r="BX218" s="43">
        <v>155517</v>
      </c>
      <c r="BY218" s="43">
        <v>281346</v>
      </c>
      <c r="BZ218" s="37">
        <v>0</v>
      </c>
      <c r="CA218" s="44">
        <f t="shared" si="21"/>
        <v>1428259</v>
      </c>
    </row>
    <row r="219" spans="1:79" x14ac:dyDescent="0.25">
      <c r="A219" s="54" t="s">
        <v>496</v>
      </c>
      <c r="B219" s="54" t="s">
        <v>1371</v>
      </c>
      <c r="C219" s="43">
        <v>17325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43">
        <v>207500</v>
      </c>
      <c r="O219" s="37">
        <v>0</v>
      </c>
      <c r="P219" s="37">
        <v>0</v>
      </c>
      <c r="Q219" s="37">
        <v>0</v>
      </c>
      <c r="R219" s="37">
        <v>0</v>
      </c>
      <c r="S219" s="43">
        <v>12552</v>
      </c>
      <c r="T219" s="43">
        <v>200865</v>
      </c>
      <c r="U219" s="37">
        <v>0</v>
      </c>
      <c r="V219" s="37">
        <v>0</v>
      </c>
      <c r="W219" s="37">
        <v>0</v>
      </c>
      <c r="X219" s="37">
        <v>0</v>
      </c>
      <c r="Y219" s="37">
        <v>0</v>
      </c>
      <c r="Z219" s="43">
        <v>106812</v>
      </c>
      <c r="AA219" s="43">
        <v>49356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44">
        <v>0</v>
      </c>
      <c r="AN219" s="43">
        <v>80522</v>
      </c>
      <c r="AO219" s="37">
        <v>0</v>
      </c>
      <c r="AP219" s="43">
        <v>3017</v>
      </c>
      <c r="AQ219" s="37">
        <v>0</v>
      </c>
      <c r="AR219" s="37">
        <v>0</v>
      </c>
      <c r="AS219" s="37">
        <v>0</v>
      </c>
      <c r="AT219" s="37">
        <v>0</v>
      </c>
      <c r="AU219" s="43">
        <v>55220</v>
      </c>
      <c r="AV219" s="43">
        <v>76030</v>
      </c>
      <c r="AW219" s="37">
        <v>0</v>
      </c>
      <c r="AX219" s="37">
        <v>0</v>
      </c>
      <c r="AY219" s="37">
        <v>0</v>
      </c>
      <c r="AZ219" s="37">
        <v>0</v>
      </c>
      <c r="BA219" s="37">
        <v>0</v>
      </c>
      <c r="BB219" s="37">
        <v>0</v>
      </c>
      <c r="BC219" s="37">
        <v>0</v>
      </c>
      <c r="BD219" s="37">
        <v>0</v>
      </c>
      <c r="BE219" s="37">
        <v>0</v>
      </c>
      <c r="BF219" s="37">
        <v>0</v>
      </c>
      <c r="BG219" s="37">
        <v>0</v>
      </c>
      <c r="BH219" s="37">
        <v>0</v>
      </c>
      <c r="BI219" s="37">
        <v>0</v>
      </c>
      <c r="BJ219" s="37">
        <v>0</v>
      </c>
      <c r="BK219" s="37">
        <v>0</v>
      </c>
      <c r="BL219" s="37">
        <v>0</v>
      </c>
      <c r="BM219" s="37">
        <v>0</v>
      </c>
      <c r="BN219" s="37">
        <v>0</v>
      </c>
      <c r="BO219" s="43">
        <v>124807</v>
      </c>
      <c r="BP219" s="43">
        <v>497025</v>
      </c>
      <c r="BQ219" s="37">
        <v>0</v>
      </c>
      <c r="BR219" s="37">
        <v>0</v>
      </c>
      <c r="BS219" s="37">
        <v>0</v>
      </c>
      <c r="BT219" s="43">
        <v>79817</v>
      </c>
      <c r="BU219" s="37">
        <v>0</v>
      </c>
      <c r="BV219" s="37">
        <v>0</v>
      </c>
      <c r="BW219" s="37">
        <v>0</v>
      </c>
      <c r="BX219" s="43">
        <v>33982</v>
      </c>
      <c r="BY219" s="37">
        <v>0</v>
      </c>
      <c r="BZ219" s="37">
        <v>0</v>
      </c>
      <c r="CA219" s="44">
        <f t="shared" si="21"/>
        <v>1544830</v>
      </c>
    </row>
    <row r="220" spans="1:79" x14ac:dyDescent="0.25">
      <c r="A220" s="54" t="s">
        <v>1356</v>
      </c>
      <c r="B220" s="54" t="s">
        <v>1357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43">
        <v>6711</v>
      </c>
      <c r="S220" s="43">
        <v>3636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43">
        <v>372222</v>
      </c>
      <c r="AE220" s="37">
        <v>0</v>
      </c>
      <c r="AF220" s="43">
        <v>36365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44">
        <v>0</v>
      </c>
      <c r="AN220" s="37">
        <v>0</v>
      </c>
      <c r="AO220" s="37">
        <v>0</v>
      </c>
      <c r="AP220" s="37">
        <v>0</v>
      </c>
      <c r="AQ220" s="37">
        <v>0</v>
      </c>
      <c r="AR220" s="37">
        <v>0</v>
      </c>
      <c r="AS220" s="37">
        <v>0</v>
      </c>
      <c r="AT220" s="43">
        <v>30526</v>
      </c>
      <c r="AU220" s="37">
        <v>0</v>
      </c>
      <c r="AV220" s="37">
        <v>0</v>
      </c>
      <c r="AW220" s="37">
        <v>0</v>
      </c>
      <c r="AX220" s="37">
        <v>0</v>
      </c>
      <c r="AY220" s="43">
        <v>8181</v>
      </c>
      <c r="AZ220" s="37">
        <v>0</v>
      </c>
      <c r="BA220" s="37">
        <v>0</v>
      </c>
      <c r="BB220" s="37">
        <v>0</v>
      </c>
      <c r="BC220" s="37">
        <v>0</v>
      </c>
      <c r="BD220" s="37">
        <v>0</v>
      </c>
      <c r="BE220" s="43">
        <v>40381</v>
      </c>
      <c r="BF220" s="37">
        <v>0</v>
      </c>
      <c r="BG220" s="37">
        <v>0</v>
      </c>
      <c r="BH220" s="37">
        <v>0</v>
      </c>
      <c r="BI220" s="43">
        <v>2748</v>
      </c>
      <c r="BJ220" s="37">
        <v>0</v>
      </c>
      <c r="BK220" s="37">
        <v>0</v>
      </c>
      <c r="BL220" s="37">
        <v>0</v>
      </c>
      <c r="BM220" s="37">
        <v>0</v>
      </c>
      <c r="BN220" s="37">
        <v>0</v>
      </c>
      <c r="BO220" s="37">
        <v>0</v>
      </c>
      <c r="BP220" s="37">
        <v>0</v>
      </c>
      <c r="BQ220" s="43">
        <v>15429</v>
      </c>
      <c r="BR220" s="37">
        <v>0</v>
      </c>
      <c r="BS220" s="43">
        <v>2438</v>
      </c>
      <c r="BT220" s="37">
        <v>0</v>
      </c>
      <c r="BU220" s="43">
        <v>3619</v>
      </c>
      <c r="BV220" s="37">
        <v>0</v>
      </c>
      <c r="BW220" s="37">
        <v>0</v>
      </c>
      <c r="BX220" s="37">
        <v>409</v>
      </c>
      <c r="BY220" s="37">
        <v>0</v>
      </c>
      <c r="BZ220" s="37">
        <v>0</v>
      </c>
      <c r="CA220" s="44">
        <f t="shared" si="21"/>
        <v>522665</v>
      </c>
    </row>
    <row r="221" spans="1:79" x14ac:dyDescent="0.25">
      <c r="A221" s="54" t="s">
        <v>1358</v>
      </c>
      <c r="B221" s="54" t="s">
        <v>1359</v>
      </c>
      <c r="C221" s="37">
        <v>0</v>
      </c>
      <c r="D221" s="43">
        <v>11497</v>
      </c>
      <c r="E221" s="43">
        <v>2188</v>
      </c>
      <c r="F221" s="43">
        <v>3056</v>
      </c>
      <c r="G221" s="43">
        <v>4219</v>
      </c>
      <c r="H221" s="43">
        <v>113787</v>
      </c>
      <c r="I221" s="37">
        <v>0</v>
      </c>
      <c r="J221" s="37">
        <v>0</v>
      </c>
      <c r="K221" s="43">
        <v>2940</v>
      </c>
      <c r="L221" s="37">
        <v>0</v>
      </c>
      <c r="M221" s="37">
        <v>0</v>
      </c>
      <c r="N221" s="43">
        <v>4224</v>
      </c>
      <c r="O221" s="37">
        <v>0</v>
      </c>
      <c r="P221" s="37">
        <v>418</v>
      </c>
      <c r="Q221" s="37">
        <v>0</v>
      </c>
      <c r="R221" s="37">
        <v>0</v>
      </c>
      <c r="S221" s="43">
        <v>2279</v>
      </c>
      <c r="T221" s="43">
        <v>6999</v>
      </c>
      <c r="U221" s="37">
        <v>0</v>
      </c>
      <c r="V221" s="37">
        <v>0</v>
      </c>
      <c r="W221" s="37">
        <v>0</v>
      </c>
      <c r="X221" s="43">
        <v>1842</v>
      </c>
      <c r="Y221" s="37">
        <v>0</v>
      </c>
      <c r="Z221" s="43">
        <v>16470</v>
      </c>
      <c r="AA221" s="37">
        <v>382</v>
      </c>
      <c r="AB221" s="37">
        <v>0</v>
      </c>
      <c r="AC221" s="43">
        <v>3374</v>
      </c>
      <c r="AD221" s="43">
        <v>22210</v>
      </c>
      <c r="AE221" s="43">
        <v>1587</v>
      </c>
      <c r="AF221" s="43">
        <v>5746</v>
      </c>
      <c r="AG221" s="43">
        <v>1450</v>
      </c>
      <c r="AH221" s="43">
        <v>15084</v>
      </c>
      <c r="AI221" s="43">
        <v>28338</v>
      </c>
      <c r="AJ221" s="43">
        <v>5703</v>
      </c>
      <c r="AK221" s="37">
        <v>0</v>
      </c>
      <c r="AL221" s="37">
        <v>0</v>
      </c>
      <c r="AM221" s="44">
        <v>5331</v>
      </c>
      <c r="AN221" s="43">
        <v>67045</v>
      </c>
      <c r="AO221" s="37">
        <v>0</v>
      </c>
      <c r="AP221" s="43">
        <v>6859</v>
      </c>
      <c r="AQ221" s="43">
        <v>5426</v>
      </c>
      <c r="AR221" s="43">
        <v>18448</v>
      </c>
      <c r="AS221" s="37">
        <v>0</v>
      </c>
      <c r="AT221" s="43">
        <v>2661</v>
      </c>
      <c r="AU221" s="37">
        <v>0</v>
      </c>
      <c r="AV221" s="37">
        <v>0</v>
      </c>
      <c r="AW221" s="37">
        <v>0</v>
      </c>
      <c r="AX221" s="43">
        <v>5345</v>
      </c>
      <c r="AY221" s="37">
        <v>0</v>
      </c>
      <c r="AZ221" s="43">
        <v>4571</v>
      </c>
      <c r="BA221" s="43">
        <v>83076</v>
      </c>
      <c r="BB221" s="37">
        <v>0</v>
      </c>
      <c r="BC221" s="43">
        <v>9185</v>
      </c>
      <c r="BD221" s="43">
        <v>9289</v>
      </c>
      <c r="BE221" s="43">
        <v>4629</v>
      </c>
      <c r="BF221" s="43">
        <v>10166</v>
      </c>
      <c r="BG221" s="43">
        <v>29506</v>
      </c>
      <c r="BH221" s="43">
        <v>12002</v>
      </c>
      <c r="BI221" s="37">
        <v>0</v>
      </c>
      <c r="BJ221" s="43">
        <v>4790</v>
      </c>
      <c r="BK221" s="43">
        <v>13334</v>
      </c>
      <c r="BL221" s="37">
        <v>0</v>
      </c>
      <c r="BM221" s="43">
        <v>6787</v>
      </c>
      <c r="BN221" s="43">
        <v>9644</v>
      </c>
      <c r="BO221" s="43">
        <v>8314</v>
      </c>
      <c r="BP221" s="43">
        <v>9422</v>
      </c>
      <c r="BQ221" s="37">
        <v>0</v>
      </c>
      <c r="BR221" s="43">
        <v>1541</v>
      </c>
      <c r="BS221" s="37">
        <v>0</v>
      </c>
      <c r="BT221" s="43">
        <v>7359</v>
      </c>
      <c r="BU221" s="37">
        <v>0</v>
      </c>
      <c r="BV221" s="43">
        <v>6243</v>
      </c>
      <c r="BW221" s="43">
        <v>5289</v>
      </c>
      <c r="BX221" s="37">
        <v>412</v>
      </c>
      <c r="BY221" s="37">
        <v>0</v>
      </c>
      <c r="BZ221" s="37">
        <v>0</v>
      </c>
      <c r="CA221" s="44">
        <f t="shared" si="21"/>
        <v>600467</v>
      </c>
    </row>
    <row r="222" spans="1:79" x14ac:dyDescent="0.25">
      <c r="A222" s="54" t="s">
        <v>497</v>
      </c>
      <c r="B222" s="54" t="s">
        <v>498</v>
      </c>
      <c r="AM222" s="44"/>
      <c r="CA222" s="44">
        <f t="shared" si="21"/>
        <v>0</v>
      </c>
    </row>
    <row r="223" spans="1:79" x14ac:dyDescent="0.25">
      <c r="A223" s="54" t="s">
        <v>499</v>
      </c>
      <c r="B223" s="54" t="s">
        <v>500</v>
      </c>
      <c r="C223" s="37">
        <v>0</v>
      </c>
      <c r="D223" s="43">
        <v>196775</v>
      </c>
      <c r="E223" s="37">
        <v>0</v>
      </c>
      <c r="F223" s="43">
        <v>98083</v>
      </c>
      <c r="G223" s="43">
        <v>465706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43">
        <v>16132</v>
      </c>
      <c r="P223" s="37">
        <v>0</v>
      </c>
      <c r="Q223" s="43">
        <v>1447545</v>
      </c>
      <c r="R223" s="37">
        <v>0</v>
      </c>
      <c r="S223" s="37">
        <v>0</v>
      </c>
      <c r="T223" s="37">
        <v>0</v>
      </c>
      <c r="U223" s="37">
        <v>0</v>
      </c>
      <c r="V223" s="43">
        <v>218467</v>
      </c>
      <c r="W223" s="43">
        <v>35659</v>
      </c>
      <c r="X223" s="37">
        <v>0</v>
      </c>
      <c r="Y223" s="37">
        <v>0</v>
      </c>
      <c r="Z223" s="37">
        <v>0</v>
      </c>
      <c r="AA223" s="43">
        <v>377670</v>
      </c>
      <c r="AB223" s="37">
        <v>0</v>
      </c>
      <c r="AC223" s="37">
        <v>0</v>
      </c>
      <c r="AD223" s="43">
        <v>150859</v>
      </c>
      <c r="AE223" s="37">
        <v>0</v>
      </c>
      <c r="AF223" s="43">
        <v>687318</v>
      </c>
      <c r="AG223" s="43">
        <v>178523</v>
      </c>
      <c r="AH223" s="37">
        <v>0</v>
      </c>
      <c r="AI223" s="37">
        <v>0</v>
      </c>
      <c r="AJ223" s="37">
        <v>0</v>
      </c>
      <c r="AK223" s="37">
        <v>0</v>
      </c>
      <c r="AL223" s="37">
        <v>0</v>
      </c>
      <c r="AM223" s="44">
        <v>2194</v>
      </c>
      <c r="AN223" s="43">
        <f>38500-38500</f>
        <v>0</v>
      </c>
      <c r="AO223" s="37">
        <v>0</v>
      </c>
      <c r="AP223" s="37">
        <v>0</v>
      </c>
      <c r="AQ223" s="43">
        <v>390698</v>
      </c>
      <c r="AR223" s="43">
        <v>868525</v>
      </c>
      <c r="AS223" s="37">
        <v>0</v>
      </c>
      <c r="AT223" s="43">
        <v>548924</v>
      </c>
      <c r="AU223" s="43">
        <v>202476</v>
      </c>
      <c r="AV223" s="37">
        <v>0</v>
      </c>
      <c r="AW223" s="43">
        <v>104321</v>
      </c>
      <c r="AX223" s="37">
        <v>0</v>
      </c>
      <c r="AY223" s="43">
        <v>67916</v>
      </c>
      <c r="AZ223" s="37">
        <v>0</v>
      </c>
      <c r="BA223" s="37">
        <v>0</v>
      </c>
      <c r="BB223" s="37">
        <v>0</v>
      </c>
      <c r="BC223" s="43">
        <v>174580</v>
      </c>
      <c r="BD223" s="43">
        <v>225194</v>
      </c>
      <c r="BE223" s="43">
        <v>401670</v>
      </c>
      <c r="BF223" s="43">
        <v>101173</v>
      </c>
      <c r="BG223" s="43">
        <v>119488</v>
      </c>
      <c r="BH223" s="43">
        <v>1684905</v>
      </c>
      <c r="BI223" s="37">
        <v>0</v>
      </c>
      <c r="BJ223" s="37">
        <v>0</v>
      </c>
      <c r="BK223" s="43">
        <v>234043</v>
      </c>
      <c r="BL223" s="37">
        <v>0</v>
      </c>
      <c r="BM223" s="37">
        <v>0</v>
      </c>
      <c r="BN223" s="37">
        <v>0</v>
      </c>
      <c r="BO223" s="37">
        <v>0</v>
      </c>
      <c r="BP223" s="37">
        <v>0</v>
      </c>
      <c r="BQ223" s="43">
        <v>233055</v>
      </c>
      <c r="BR223" s="37">
        <v>0</v>
      </c>
      <c r="BS223" s="43">
        <v>873754</v>
      </c>
      <c r="BT223" s="37">
        <v>0</v>
      </c>
      <c r="BU223" s="37">
        <v>0</v>
      </c>
      <c r="BV223" s="37">
        <v>0</v>
      </c>
      <c r="BW223" s="37">
        <v>0</v>
      </c>
      <c r="BX223" s="43">
        <f>169373-92857</f>
        <v>76516</v>
      </c>
      <c r="BY223" s="43">
        <f>2251-2251</f>
        <v>0</v>
      </c>
      <c r="BZ223" s="37">
        <v>0</v>
      </c>
      <c r="CA223" s="44">
        <f t="shared" si="21"/>
        <v>10182169</v>
      </c>
    </row>
    <row r="224" spans="1:79" x14ac:dyDescent="0.25">
      <c r="A224" s="54" t="s">
        <v>1360</v>
      </c>
      <c r="B224" s="54" t="s">
        <v>1361</v>
      </c>
      <c r="C224" s="43">
        <v>9550</v>
      </c>
      <c r="D224" s="43">
        <v>685985</v>
      </c>
      <c r="E224" s="43">
        <v>123798</v>
      </c>
      <c r="F224" s="43">
        <v>273414</v>
      </c>
      <c r="G224" s="43">
        <v>130476</v>
      </c>
      <c r="H224" s="43">
        <v>90811</v>
      </c>
      <c r="I224" s="43">
        <v>104749</v>
      </c>
      <c r="J224" s="43">
        <v>375165</v>
      </c>
      <c r="K224" s="43">
        <v>226526</v>
      </c>
      <c r="L224" s="37">
        <v>174</v>
      </c>
      <c r="M224" s="37">
        <v>0</v>
      </c>
      <c r="N224" s="43">
        <v>529548</v>
      </c>
      <c r="O224" s="43">
        <v>1295564</v>
      </c>
      <c r="P224" s="43">
        <v>118347</v>
      </c>
      <c r="Q224" s="43">
        <v>1548871</v>
      </c>
      <c r="R224" s="43">
        <v>127664</v>
      </c>
      <c r="S224" s="43">
        <v>68450</v>
      </c>
      <c r="T224" s="43">
        <v>269398</v>
      </c>
      <c r="U224" s="37">
        <v>0</v>
      </c>
      <c r="V224" s="43">
        <v>165943</v>
      </c>
      <c r="W224" s="43">
        <v>292339</v>
      </c>
      <c r="X224" s="43">
        <v>23691</v>
      </c>
      <c r="Y224" s="43">
        <v>117563</v>
      </c>
      <c r="Z224" s="43">
        <v>744930</v>
      </c>
      <c r="AA224" s="43">
        <v>124268</v>
      </c>
      <c r="AB224" s="43">
        <v>200879</v>
      </c>
      <c r="AC224" s="43">
        <v>131012</v>
      </c>
      <c r="AD224" s="43">
        <v>179284</v>
      </c>
      <c r="AE224" s="43">
        <v>54927</v>
      </c>
      <c r="AF224" s="37">
        <v>0</v>
      </c>
      <c r="AG224" s="43">
        <v>66181</v>
      </c>
      <c r="AH224" s="43">
        <v>160859</v>
      </c>
      <c r="AI224" s="43">
        <v>1191638</v>
      </c>
      <c r="AJ224" s="43">
        <v>280967</v>
      </c>
      <c r="AK224" s="43">
        <v>64083</v>
      </c>
      <c r="AL224" s="43">
        <v>71742</v>
      </c>
      <c r="AM224" s="44">
        <v>37592</v>
      </c>
      <c r="AN224" s="37">
        <v>0</v>
      </c>
      <c r="AO224" s="37">
        <v>0</v>
      </c>
      <c r="AP224" s="43">
        <v>285814</v>
      </c>
      <c r="AQ224" s="43">
        <v>245450</v>
      </c>
      <c r="AR224" s="37">
        <v>0</v>
      </c>
      <c r="AS224" s="43">
        <v>154154</v>
      </c>
      <c r="AT224" s="43">
        <v>32749</v>
      </c>
      <c r="AU224" s="43">
        <v>744328</v>
      </c>
      <c r="AV224" s="43">
        <v>215764</v>
      </c>
      <c r="AW224" s="43">
        <v>66706</v>
      </c>
      <c r="AX224" s="43">
        <v>38001</v>
      </c>
      <c r="AY224" s="37">
        <v>0</v>
      </c>
      <c r="AZ224" s="43">
        <v>31095</v>
      </c>
      <c r="BA224" s="37">
        <v>0</v>
      </c>
      <c r="BB224" s="43">
        <v>126858</v>
      </c>
      <c r="BC224" s="43">
        <v>208384</v>
      </c>
      <c r="BD224" s="43">
        <v>281627</v>
      </c>
      <c r="BE224" s="43">
        <v>311826</v>
      </c>
      <c r="BF224" s="43">
        <v>276776</v>
      </c>
      <c r="BG224" s="43">
        <v>775820</v>
      </c>
      <c r="BH224" s="43">
        <v>666243</v>
      </c>
      <c r="BI224" s="43">
        <v>6347</v>
      </c>
      <c r="BJ224" s="43">
        <v>238148</v>
      </c>
      <c r="BK224" s="43">
        <v>268074</v>
      </c>
      <c r="BL224" s="37">
        <v>0</v>
      </c>
      <c r="BM224" s="43">
        <v>48558</v>
      </c>
      <c r="BN224" s="43">
        <v>322610</v>
      </c>
      <c r="BO224" s="43">
        <v>56963</v>
      </c>
      <c r="BP224" s="43">
        <v>251718</v>
      </c>
      <c r="BQ224" s="43">
        <v>497293</v>
      </c>
      <c r="BR224" s="37">
        <v>0</v>
      </c>
      <c r="BS224" s="43">
        <v>219800</v>
      </c>
      <c r="BT224" s="43">
        <v>166821</v>
      </c>
      <c r="BU224" s="43">
        <v>134675</v>
      </c>
      <c r="BV224" s="43">
        <v>704698</v>
      </c>
      <c r="BW224" s="43">
        <v>431241</v>
      </c>
      <c r="BX224" s="43">
        <f>242604-28747-2613-558-5614-16851</f>
        <v>188221</v>
      </c>
      <c r="BY224" s="43">
        <f>1120067-1568-14176-4600-3800-14600-2800-2000-10400-11488-4400-11600-95600-108814-3620-9200</f>
        <v>821401</v>
      </c>
      <c r="BZ224" s="37">
        <v>0</v>
      </c>
      <c r="CA224" s="44">
        <f t="shared" si="21"/>
        <v>18704551</v>
      </c>
    </row>
    <row r="225" spans="1:79" x14ac:dyDescent="0.25">
      <c r="A225" s="54" t="s">
        <v>1362</v>
      </c>
      <c r="B225" s="54" t="s">
        <v>1363</v>
      </c>
      <c r="C225" s="43">
        <v>2391</v>
      </c>
      <c r="D225" s="43">
        <v>74145</v>
      </c>
      <c r="E225" s="43">
        <v>5116</v>
      </c>
      <c r="F225" s="37">
        <v>0</v>
      </c>
      <c r="G225" s="43">
        <v>1482</v>
      </c>
      <c r="H225" s="37">
        <v>0</v>
      </c>
      <c r="I225" s="43">
        <v>10286</v>
      </c>
      <c r="J225" s="43">
        <v>14066</v>
      </c>
      <c r="K225" s="43">
        <v>18234</v>
      </c>
      <c r="L225" s="37">
        <v>0</v>
      </c>
      <c r="M225" s="37">
        <v>0</v>
      </c>
      <c r="N225" s="43">
        <v>76457</v>
      </c>
      <c r="O225" s="43">
        <v>47856</v>
      </c>
      <c r="P225" s="43">
        <v>4414</v>
      </c>
      <c r="Q225" s="43">
        <v>124107</v>
      </c>
      <c r="R225" s="43">
        <v>10135</v>
      </c>
      <c r="S225" s="37">
        <v>929</v>
      </c>
      <c r="T225" s="37">
        <v>0</v>
      </c>
      <c r="U225" s="37">
        <v>0</v>
      </c>
      <c r="V225" s="43">
        <v>21339</v>
      </c>
      <c r="W225" s="37">
        <v>0</v>
      </c>
      <c r="X225" s="37">
        <v>0</v>
      </c>
      <c r="Y225" s="43">
        <v>8337</v>
      </c>
      <c r="Z225" s="43">
        <v>4563</v>
      </c>
      <c r="AA225" s="43">
        <v>16370</v>
      </c>
      <c r="AB225" s="37">
        <v>0</v>
      </c>
      <c r="AC225" s="43">
        <v>3583</v>
      </c>
      <c r="AD225" s="43">
        <v>30464</v>
      </c>
      <c r="AE225" s="37">
        <v>0</v>
      </c>
      <c r="AF225" s="37">
        <v>0</v>
      </c>
      <c r="AG225" s="43">
        <v>1907</v>
      </c>
      <c r="AH225" s="37">
        <v>0</v>
      </c>
      <c r="AI225" s="43">
        <v>278617</v>
      </c>
      <c r="AJ225" s="43">
        <v>12277</v>
      </c>
      <c r="AK225" s="43">
        <v>2793</v>
      </c>
      <c r="AL225" s="43">
        <v>5393</v>
      </c>
      <c r="AM225" s="44">
        <v>710</v>
      </c>
      <c r="AN225" s="37">
        <v>0</v>
      </c>
      <c r="AO225" s="37">
        <v>0</v>
      </c>
      <c r="AP225" s="43">
        <v>39791</v>
      </c>
      <c r="AQ225" s="43">
        <v>11993</v>
      </c>
      <c r="AR225" s="37">
        <v>0</v>
      </c>
      <c r="AS225" s="43">
        <v>17102</v>
      </c>
      <c r="AT225" s="37">
        <v>0</v>
      </c>
      <c r="AU225" s="43">
        <v>104656</v>
      </c>
      <c r="AV225" s="37">
        <v>0</v>
      </c>
      <c r="AW225" s="43">
        <v>9847</v>
      </c>
      <c r="AX225" s="37">
        <v>0</v>
      </c>
      <c r="AY225" s="43">
        <v>423948</v>
      </c>
      <c r="AZ225" s="37">
        <v>0</v>
      </c>
      <c r="BA225" s="37">
        <v>0</v>
      </c>
      <c r="BB225" s="43">
        <v>11259</v>
      </c>
      <c r="BC225" s="43">
        <v>29083</v>
      </c>
      <c r="BD225" s="43">
        <v>42915</v>
      </c>
      <c r="BE225" s="43">
        <v>6485</v>
      </c>
      <c r="BF225" s="43">
        <v>33187</v>
      </c>
      <c r="BG225" s="37">
        <v>0</v>
      </c>
      <c r="BH225" s="43">
        <v>42318</v>
      </c>
      <c r="BI225" s="43">
        <v>14368</v>
      </c>
      <c r="BJ225" s="43">
        <v>1213</v>
      </c>
      <c r="BK225" s="43">
        <v>28127</v>
      </c>
      <c r="BL225" s="37">
        <v>0</v>
      </c>
      <c r="BM225" s="43">
        <v>14795</v>
      </c>
      <c r="BN225" s="43">
        <v>40022</v>
      </c>
      <c r="BO225" s="43">
        <v>12903</v>
      </c>
      <c r="BP225" s="43">
        <v>14808</v>
      </c>
      <c r="BQ225" s="43">
        <v>50174</v>
      </c>
      <c r="BR225" s="37">
        <v>0</v>
      </c>
      <c r="BS225" s="43">
        <v>21579</v>
      </c>
      <c r="BT225" s="43">
        <v>20304</v>
      </c>
      <c r="BU225" s="43">
        <v>16257</v>
      </c>
      <c r="BV225" s="37">
        <v>32</v>
      </c>
      <c r="BW225" s="43">
        <v>35342</v>
      </c>
      <c r="BX225" s="43">
        <f>3628-1814</f>
        <v>1814</v>
      </c>
      <c r="BY225" s="43">
        <v>54243</v>
      </c>
      <c r="BZ225" s="37">
        <v>0</v>
      </c>
      <c r="CA225" s="44">
        <f t="shared" si="21"/>
        <v>1874536</v>
      </c>
    </row>
    <row r="226" spans="1:79" x14ac:dyDescent="0.25">
      <c r="A226" s="54" t="s">
        <v>501</v>
      </c>
      <c r="B226" s="54" t="s">
        <v>502</v>
      </c>
      <c r="C226" s="37">
        <v>0</v>
      </c>
      <c r="D226" s="37">
        <v>0</v>
      </c>
      <c r="E226" s="37">
        <v>0</v>
      </c>
      <c r="F226" s="37">
        <v>0</v>
      </c>
      <c r="G226" s="43">
        <v>175485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7">
        <v>0</v>
      </c>
      <c r="T226" s="37">
        <v>0</v>
      </c>
      <c r="U226" s="37">
        <v>0</v>
      </c>
      <c r="V226" s="37">
        <v>0</v>
      </c>
      <c r="W226" s="37">
        <v>0</v>
      </c>
      <c r="X226" s="37">
        <v>0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43">
        <v>262901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44">
        <v>0</v>
      </c>
      <c r="AN226" s="37">
        <v>0</v>
      </c>
      <c r="AO226" s="37">
        <v>0</v>
      </c>
      <c r="AP226" s="37">
        <v>0</v>
      </c>
      <c r="AQ226" s="37">
        <v>0</v>
      </c>
      <c r="AR226" s="37">
        <v>0</v>
      </c>
      <c r="AS226" s="37">
        <v>0</v>
      </c>
      <c r="AT226" s="37">
        <v>0</v>
      </c>
      <c r="AU226" s="37">
        <v>0</v>
      </c>
      <c r="AV226" s="37">
        <v>0</v>
      </c>
      <c r="AW226" s="37">
        <v>0</v>
      </c>
      <c r="AX226" s="37">
        <v>0</v>
      </c>
      <c r="AY226" s="37">
        <v>0</v>
      </c>
      <c r="AZ226" s="37">
        <v>0</v>
      </c>
      <c r="BA226" s="37">
        <v>0</v>
      </c>
      <c r="BB226" s="37">
        <v>0</v>
      </c>
      <c r="BC226" s="37">
        <v>0</v>
      </c>
      <c r="BD226" s="37">
        <v>0</v>
      </c>
      <c r="BE226" s="37">
        <v>0</v>
      </c>
      <c r="BF226" s="37">
        <v>0</v>
      </c>
      <c r="BG226" s="37">
        <v>0</v>
      </c>
      <c r="BH226" s="37">
        <v>0</v>
      </c>
      <c r="BI226" s="37">
        <v>0</v>
      </c>
      <c r="BJ226" s="37">
        <v>0</v>
      </c>
      <c r="BK226" s="37">
        <v>0</v>
      </c>
      <c r="BL226" s="37">
        <v>0</v>
      </c>
      <c r="BM226" s="37">
        <v>0</v>
      </c>
      <c r="BN226" s="37">
        <v>0</v>
      </c>
      <c r="BO226" s="37">
        <v>0</v>
      </c>
      <c r="BP226" s="37">
        <v>0</v>
      </c>
      <c r="BQ226" s="43">
        <v>200317</v>
      </c>
      <c r="BR226" s="37">
        <v>0</v>
      </c>
      <c r="BS226" s="37">
        <v>0</v>
      </c>
      <c r="BT226" s="37">
        <v>0</v>
      </c>
      <c r="BU226" s="37">
        <v>0</v>
      </c>
      <c r="BV226" s="37">
        <v>0</v>
      </c>
      <c r="BW226" s="37">
        <v>0</v>
      </c>
      <c r="BX226" s="37">
        <v>0</v>
      </c>
      <c r="BY226" s="37">
        <v>0</v>
      </c>
      <c r="BZ226" s="37">
        <v>0</v>
      </c>
      <c r="CA226" s="44">
        <f t="shared" si="21"/>
        <v>638703</v>
      </c>
    </row>
    <row r="227" spans="1:79" x14ac:dyDescent="0.25">
      <c r="A227" s="54" t="s">
        <v>503</v>
      </c>
      <c r="B227" s="54" t="s">
        <v>504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44">
        <v>0</v>
      </c>
      <c r="AN227" s="37">
        <v>0</v>
      </c>
      <c r="AO227" s="37">
        <v>0</v>
      </c>
      <c r="AP227" s="37">
        <v>0</v>
      </c>
      <c r="AQ227" s="37">
        <v>0</v>
      </c>
      <c r="AR227" s="37">
        <v>0</v>
      </c>
      <c r="AS227" s="37">
        <v>0</v>
      </c>
      <c r="AT227" s="37">
        <v>0</v>
      </c>
      <c r="AU227" s="37">
        <v>0</v>
      </c>
      <c r="AV227" s="37">
        <v>0</v>
      </c>
      <c r="AW227" s="37">
        <v>0</v>
      </c>
      <c r="AX227" s="37">
        <v>0</v>
      </c>
      <c r="AY227" s="37">
        <v>0</v>
      </c>
      <c r="AZ227" s="37">
        <v>0</v>
      </c>
      <c r="BA227" s="37">
        <v>0</v>
      </c>
      <c r="BB227" s="37">
        <v>0</v>
      </c>
      <c r="BC227" s="37">
        <v>0</v>
      </c>
      <c r="BD227" s="37">
        <v>0</v>
      </c>
      <c r="BE227" s="37">
        <v>0</v>
      </c>
      <c r="BF227" s="37">
        <v>0</v>
      </c>
      <c r="BG227" s="37">
        <v>0</v>
      </c>
      <c r="BH227" s="37">
        <v>0</v>
      </c>
      <c r="BI227" s="37">
        <v>0</v>
      </c>
      <c r="BJ227" s="37">
        <v>0</v>
      </c>
      <c r="BK227" s="37">
        <v>0</v>
      </c>
      <c r="BL227" s="37">
        <v>0</v>
      </c>
      <c r="BM227" s="37">
        <v>0</v>
      </c>
      <c r="BN227" s="37">
        <v>0</v>
      </c>
      <c r="BO227" s="37">
        <v>0</v>
      </c>
      <c r="BP227" s="37">
        <v>0</v>
      </c>
      <c r="BQ227" s="37">
        <v>0</v>
      </c>
      <c r="BR227" s="37">
        <v>0</v>
      </c>
      <c r="BS227" s="37">
        <v>0</v>
      </c>
      <c r="BT227" s="37">
        <v>0</v>
      </c>
      <c r="BU227" s="37">
        <v>0</v>
      </c>
      <c r="BV227" s="37">
        <v>0</v>
      </c>
      <c r="BW227" s="37">
        <v>0</v>
      </c>
      <c r="BX227" s="37">
        <v>0</v>
      </c>
      <c r="BY227" s="37">
        <v>0</v>
      </c>
      <c r="BZ227" s="37">
        <v>0</v>
      </c>
      <c r="CA227" s="44">
        <f t="shared" si="21"/>
        <v>0</v>
      </c>
    </row>
    <row r="228" spans="1:79" x14ac:dyDescent="0.25">
      <c r="A228" s="54" t="s">
        <v>1342</v>
      </c>
      <c r="B228" s="54" t="s">
        <v>1343</v>
      </c>
      <c r="C228" s="37">
        <v>0</v>
      </c>
      <c r="D228" s="43">
        <v>298018</v>
      </c>
      <c r="E228" s="37">
        <v>0</v>
      </c>
      <c r="F228" s="43">
        <v>114679</v>
      </c>
      <c r="G228" s="37">
        <v>947</v>
      </c>
      <c r="H228" s="37">
        <v>0</v>
      </c>
      <c r="I228" s="43">
        <v>7000</v>
      </c>
      <c r="J228" s="43">
        <v>32754</v>
      </c>
      <c r="K228" s="43">
        <v>6958</v>
      </c>
      <c r="L228" s="43">
        <v>13487</v>
      </c>
      <c r="M228" s="37">
        <v>0</v>
      </c>
      <c r="N228" s="43">
        <v>83101</v>
      </c>
      <c r="O228" s="43">
        <v>142978</v>
      </c>
      <c r="P228" s="43">
        <v>21793</v>
      </c>
      <c r="Q228" s="37">
        <v>0</v>
      </c>
      <c r="R228" s="37">
        <v>0</v>
      </c>
      <c r="S228" s="43">
        <v>5557</v>
      </c>
      <c r="T228" s="37">
        <v>0</v>
      </c>
      <c r="U228" s="37">
        <v>0</v>
      </c>
      <c r="V228" s="43">
        <v>32952</v>
      </c>
      <c r="W228" s="43">
        <v>39902</v>
      </c>
      <c r="X228" s="37">
        <v>0</v>
      </c>
      <c r="Y228" s="37">
        <v>0</v>
      </c>
      <c r="Z228" s="43">
        <v>55020</v>
      </c>
      <c r="AA228" s="43">
        <v>1455</v>
      </c>
      <c r="AB228" s="37">
        <v>0</v>
      </c>
      <c r="AC228" s="43">
        <v>23628</v>
      </c>
      <c r="AD228" s="43">
        <v>81128</v>
      </c>
      <c r="AE228" s="37">
        <v>0</v>
      </c>
      <c r="AF228" s="37">
        <v>0</v>
      </c>
      <c r="AG228" s="37">
        <v>0</v>
      </c>
      <c r="AH228" s="37">
        <v>0</v>
      </c>
      <c r="AI228" s="43">
        <v>248195</v>
      </c>
      <c r="AJ228" s="43">
        <v>63811</v>
      </c>
      <c r="AK228" s="43">
        <v>3116</v>
      </c>
      <c r="AL228" s="37">
        <v>0</v>
      </c>
      <c r="AM228" s="44">
        <v>21299</v>
      </c>
      <c r="AN228" s="37">
        <v>0</v>
      </c>
      <c r="AO228" s="37">
        <v>0</v>
      </c>
      <c r="AP228" s="43">
        <v>6257</v>
      </c>
      <c r="AQ228" s="37">
        <v>0</v>
      </c>
      <c r="AR228" s="37">
        <v>873</v>
      </c>
      <c r="AS228" s="43">
        <v>4900</v>
      </c>
      <c r="AT228" s="37">
        <v>0</v>
      </c>
      <c r="AU228" s="43">
        <v>83675</v>
      </c>
      <c r="AV228" s="43">
        <v>17301</v>
      </c>
      <c r="AW228" s="37">
        <v>0</v>
      </c>
      <c r="AX228" s="37">
        <v>0</v>
      </c>
      <c r="AY228" s="43">
        <v>89691</v>
      </c>
      <c r="AZ228" s="37">
        <v>0</v>
      </c>
      <c r="BA228" s="37">
        <v>0</v>
      </c>
      <c r="BB228" s="43">
        <v>4814</v>
      </c>
      <c r="BC228" s="43">
        <v>7830</v>
      </c>
      <c r="BD228" s="43">
        <v>20204</v>
      </c>
      <c r="BE228" s="37">
        <v>0</v>
      </c>
      <c r="BF228" s="43">
        <v>285448</v>
      </c>
      <c r="BG228" s="43">
        <v>136385</v>
      </c>
      <c r="BH228" s="43">
        <v>233963</v>
      </c>
      <c r="BI228" s="37">
        <v>0</v>
      </c>
      <c r="BJ228" s="43">
        <v>1256</v>
      </c>
      <c r="BK228" s="43">
        <v>34330</v>
      </c>
      <c r="BL228" s="43">
        <v>140107</v>
      </c>
      <c r="BM228" s="43">
        <v>2655</v>
      </c>
      <c r="BN228" s="43">
        <v>27259</v>
      </c>
      <c r="BO228" s="43">
        <v>111895</v>
      </c>
      <c r="BP228" s="43">
        <v>60278</v>
      </c>
      <c r="BQ228" s="43">
        <v>17219</v>
      </c>
      <c r="BR228" s="43">
        <v>1339</v>
      </c>
      <c r="BS228" s="37">
        <v>0</v>
      </c>
      <c r="BT228" s="37">
        <v>78</v>
      </c>
      <c r="BU228" s="37">
        <v>715</v>
      </c>
      <c r="BV228" s="37">
        <v>0</v>
      </c>
      <c r="BW228" s="43">
        <v>5392</v>
      </c>
      <c r="BX228" s="43">
        <f>19676-657-1077-1077-1315-1157</f>
        <v>14393</v>
      </c>
      <c r="BY228" s="37">
        <v>0</v>
      </c>
      <c r="BZ228" s="37">
        <v>0</v>
      </c>
      <c r="CA228" s="44">
        <f t="shared" si="21"/>
        <v>2606035</v>
      </c>
    </row>
    <row r="229" spans="1:79" x14ac:dyDescent="0.25">
      <c r="A229" s="54" t="s">
        <v>1364</v>
      </c>
      <c r="B229" s="54" t="s">
        <v>1365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7">
        <v>0</v>
      </c>
      <c r="X229" s="37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44">
        <v>0</v>
      </c>
      <c r="AN229" s="37">
        <v>0</v>
      </c>
      <c r="AO229" s="37">
        <v>0</v>
      </c>
      <c r="AP229" s="37">
        <v>0</v>
      </c>
      <c r="AQ229" s="37">
        <v>0</v>
      </c>
      <c r="AR229" s="37">
        <v>0</v>
      </c>
      <c r="AS229" s="37">
        <v>0</v>
      </c>
      <c r="AT229" s="37">
        <v>0</v>
      </c>
      <c r="AU229" s="37">
        <v>0</v>
      </c>
      <c r="AV229" s="37">
        <v>0</v>
      </c>
      <c r="AW229" s="37">
        <v>0</v>
      </c>
      <c r="AX229" s="37">
        <v>0</v>
      </c>
      <c r="AY229" s="37">
        <v>0</v>
      </c>
      <c r="AZ229" s="37">
        <v>0</v>
      </c>
      <c r="BA229" s="37">
        <v>0</v>
      </c>
      <c r="BB229" s="37">
        <v>0</v>
      </c>
      <c r="BC229" s="37">
        <v>0</v>
      </c>
      <c r="BD229" s="37">
        <v>0</v>
      </c>
      <c r="BE229" s="37">
        <v>0</v>
      </c>
      <c r="BF229" s="37">
        <v>0</v>
      </c>
      <c r="BG229" s="37">
        <v>0</v>
      </c>
      <c r="BH229" s="37">
        <v>0</v>
      </c>
      <c r="BI229" s="37">
        <v>0</v>
      </c>
      <c r="BJ229" s="37">
        <v>0</v>
      </c>
      <c r="BK229" s="37">
        <v>0</v>
      </c>
      <c r="BL229" s="37">
        <v>0</v>
      </c>
      <c r="BM229" s="37">
        <v>0</v>
      </c>
      <c r="BN229" s="37">
        <v>0</v>
      </c>
      <c r="BO229" s="37">
        <v>0</v>
      </c>
      <c r="BP229" s="37">
        <v>0</v>
      </c>
      <c r="BQ229" s="37">
        <v>0</v>
      </c>
      <c r="BR229" s="37">
        <v>0</v>
      </c>
      <c r="BS229" s="37">
        <v>0</v>
      </c>
      <c r="BT229" s="37">
        <v>0</v>
      </c>
      <c r="BU229" s="37">
        <v>0</v>
      </c>
      <c r="BV229" s="37">
        <v>0</v>
      </c>
      <c r="BW229" s="37">
        <v>0</v>
      </c>
      <c r="BX229" s="37">
        <v>0</v>
      </c>
      <c r="BY229" s="37">
        <v>0</v>
      </c>
      <c r="BZ229" s="37">
        <v>0</v>
      </c>
      <c r="CA229" s="44">
        <f t="shared" si="21"/>
        <v>0</v>
      </c>
    </row>
    <row r="230" spans="1:79" x14ac:dyDescent="0.25">
      <c r="A230" s="54" t="s">
        <v>505</v>
      </c>
      <c r="B230" s="54" t="s">
        <v>506</v>
      </c>
      <c r="C230" s="43">
        <v>1531604</v>
      </c>
      <c r="D230" s="43">
        <v>13747449</v>
      </c>
      <c r="E230" s="43">
        <v>2160140</v>
      </c>
      <c r="F230" s="43">
        <v>3036796</v>
      </c>
      <c r="G230" s="43">
        <v>2023473</v>
      </c>
      <c r="H230" s="43">
        <v>3427144</v>
      </c>
      <c r="I230" s="43">
        <v>1132724</v>
      </c>
      <c r="J230" s="43">
        <v>7584188</v>
      </c>
      <c r="K230" s="43">
        <v>1853382</v>
      </c>
      <c r="L230" s="43">
        <v>1915812</v>
      </c>
      <c r="M230" s="43">
        <v>1504052</v>
      </c>
      <c r="N230" s="43">
        <f>16201578-32819</f>
        <v>16168759</v>
      </c>
      <c r="O230" s="43">
        <v>23453822</v>
      </c>
      <c r="P230" s="43">
        <v>623356</v>
      </c>
      <c r="Q230" s="43">
        <f>73687710-425227-465130-487661-450271-223641-190299-2657757-1192292-143096</f>
        <v>67452336</v>
      </c>
      <c r="R230" s="43">
        <v>12239092</v>
      </c>
      <c r="S230" s="43">
        <v>6190928</v>
      </c>
      <c r="T230" s="43">
        <v>4496398</v>
      </c>
      <c r="U230" s="37">
        <v>0</v>
      </c>
      <c r="V230" s="43">
        <v>6963519</v>
      </c>
      <c r="W230" s="43">
        <v>11606221</v>
      </c>
      <c r="X230" s="43">
        <v>5079417</v>
      </c>
      <c r="Y230" s="43">
        <v>10749274</v>
      </c>
      <c r="Z230" s="43">
        <v>14550192</v>
      </c>
      <c r="AA230" s="43">
        <v>778162</v>
      </c>
      <c r="AB230" s="43">
        <v>1854981</v>
      </c>
      <c r="AC230" s="43">
        <v>1972081</v>
      </c>
      <c r="AD230" s="43">
        <v>18217631</v>
      </c>
      <c r="AE230" s="43">
        <v>2625052</v>
      </c>
      <c r="AF230" s="43">
        <v>3825415</v>
      </c>
      <c r="AG230" s="43">
        <v>432530</v>
      </c>
      <c r="AH230" s="43">
        <f>6671427-170132</f>
        <v>6501295</v>
      </c>
      <c r="AI230" s="43">
        <v>56341833</v>
      </c>
      <c r="AJ230" s="43">
        <v>13615332</v>
      </c>
      <c r="AK230" s="43">
        <v>2459218</v>
      </c>
      <c r="AL230" s="43">
        <v>1638302</v>
      </c>
      <c r="AM230" s="44">
        <v>1683224</v>
      </c>
      <c r="AN230" s="43">
        <f>55036125-17427-228996-1387-399550</f>
        <v>54388765</v>
      </c>
      <c r="AO230" s="37">
        <v>0</v>
      </c>
      <c r="AP230" s="43">
        <v>4200881</v>
      </c>
      <c r="AQ230" s="43">
        <f>4329913-25036</f>
        <v>4304877</v>
      </c>
      <c r="AR230" s="43">
        <v>4768768</v>
      </c>
      <c r="AS230" s="43">
        <v>3730445</v>
      </c>
      <c r="AT230" s="43">
        <v>2282463</v>
      </c>
      <c r="AU230" s="37">
        <v>0</v>
      </c>
      <c r="AV230" s="43">
        <v>3905684</v>
      </c>
      <c r="AW230" s="43">
        <v>3649319</v>
      </c>
      <c r="AX230" s="43">
        <v>4951936</v>
      </c>
      <c r="AY230" s="37">
        <v>0</v>
      </c>
      <c r="AZ230" s="43">
        <v>758469</v>
      </c>
      <c r="BA230" s="43">
        <v>4388166</v>
      </c>
      <c r="BB230" s="43">
        <v>10091657</v>
      </c>
      <c r="BC230" s="43">
        <v>8867648</v>
      </c>
      <c r="BD230" s="43">
        <v>3673599</v>
      </c>
      <c r="BE230" s="43">
        <v>16647229</v>
      </c>
      <c r="BF230" s="43">
        <v>9474217</v>
      </c>
      <c r="BG230" s="43">
        <f>35736340-94023-32157</f>
        <v>35610160</v>
      </c>
      <c r="BH230" s="43">
        <v>6465364</v>
      </c>
      <c r="BI230" s="43">
        <v>3074824</v>
      </c>
      <c r="BJ230" s="43">
        <v>7813861</v>
      </c>
      <c r="BK230" s="43">
        <v>2906267</v>
      </c>
      <c r="BL230" s="43">
        <v>3152277</v>
      </c>
      <c r="BM230" s="43">
        <v>637741</v>
      </c>
      <c r="BN230" s="43">
        <v>3604422</v>
      </c>
      <c r="BO230" s="43">
        <v>13246622</v>
      </c>
      <c r="BP230" s="43">
        <v>5444328</v>
      </c>
      <c r="BQ230" s="43">
        <v>12662040</v>
      </c>
      <c r="BR230" s="43">
        <v>3519636</v>
      </c>
      <c r="BS230" s="43">
        <v>9924779</v>
      </c>
      <c r="BT230" s="43">
        <v>2263190</v>
      </c>
      <c r="BU230" s="43">
        <v>4920268</v>
      </c>
      <c r="BV230" s="43">
        <v>10929373</v>
      </c>
      <c r="BW230" s="43">
        <v>604360</v>
      </c>
      <c r="BX230" s="43">
        <f>19263461-41869-799287-41521-101692-45692-3637-309719-597049-162151-56841-121768-146983-385505-543439-98539-445739-10000-972284-216444-112415-108656-97951-70594-244261-283217-231135-41991-156219-98995-182602-26338-981296-150358</f>
        <v>11377274</v>
      </c>
      <c r="BY230" s="43">
        <f>21213956-125939-462408-305482-153464-184058-1017034-129891-334476-470875-686262-157382-1064250-115978-839021-2369501-95417-118897-29484-331307</f>
        <v>12222830</v>
      </c>
      <c r="BZ230" s="43">
        <f>1720479-96469-670524-442726</f>
        <v>510760</v>
      </c>
      <c r="CA230" s="44">
        <f t="shared" si="21"/>
        <v>622409633</v>
      </c>
    </row>
    <row r="231" spans="1:79" x14ac:dyDescent="0.25">
      <c r="A231" s="54" t="s">
        <v>507</v>
      </c>
      <c r="B231" s="54" t="s">
        <v>508</v>
      </c>
      <c r="C231" s="43">
        <v>6360</v>
      </c>
      <c r="D231" s="37">
        <v>0</v>
      </c>
      <c r="E231" s="43">
        <v>86436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43">
        <v>29835</v>
      </c>
      <c r="M231" s="43">
        <v>1103227</v>
      </c>
      <c r="N231" s="43">
        <v>181826</v>
      </c>
      <c r="O231" s="43">
        <v>801991</v>
      </c>
      <c r="P231" s="43">
        <v>3202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7">
        <v>0</v>
      </c>
      <c r="X231" s="37">
        <v>0</v>
      </c>
      <c r="Y231" s="43">
        <v>167059</v>
      </c>
      <c r="Z231" s="43">
        <v>1576</v>
      </c>
      <c r="AA231" s="43">
        <v>9113</v>
      </c>
      <c r="AB231" s="37">
        <v>0</v>
      </c>
      <c r="AC231" s="37">
        <v>0</v>
      </c>
      <c r="AD231" s="43">
        <v>18821</v>
      </c>
      <c r="AE231" s="37">
        <v>0</v>
      </c>
      <c r="AF231" s="43">
        <v>72090</v>
      </c>
      <c r="AG231" s="37">
        <v>0</v>
      </c>
      <c r="AH231" s="37">
        <v>0</v>
      </c>
      <c r="AI231" s="37">
        <v>0</v>
      </c>
      <c r="AJ231" s="43">
        <v>5556</v>
      </c>
      <c r="AK231" s="37">
        <v>0</v>
      </c>
      <c r="AL231" s="37">
        <v>0</v>
      </c>
      <c r="AM231" s="44">
        <v>6375</v>
      </c>
      <c r="AN231" s="43">
        <f>20049-19563</f>
        <v>486</v>
      </c>
      <c r="AO231" s="37">
        <v>0</v>
      </c>
      <c r="AP231" s="37">
        <v>0</v>
      </c>
      <c r="AQ231" s="43">
        <f>4348-4348</f>
        <v>0</v>
      </c>
      <c r="AR231" s="43">
        <v>17139</v>
      </c>
      <c r="AS231" s="37">
        <v>0</v>
      </c>
      <c r="AT231" s="43">
        <v>6486</v>
      </c>
      <c r="AU231" s="43">
        <v>10237268</v>
      </c>
      <c r="AV231" s="37">
        <v>0</v>
      </c>
      <c r="AW231" s="37">
        <v>0</v>
      </c>
      <c r="AX231" s="37">
        <v>0</v>
      </c>
      <c r="AY231" s="37">
        <v>0</v>
      </c>
      <c r="AZ231" s="37">
        <v>0</v>
      </c>
      <c r="BA231" s="37">
        <v>0</v>
      </c>
      <c r="BB231" s="37">
        <v>0</v>
      </c>
      <c r="BC231" s="43">
        <v>7012</v>
      </c>
      <c r="BD231" s="43">
        <v>32448</v>
      </c>
      <c r="BE231" s="43">
        <v>142718</v>
      </c>
      <c r="BF231" s="43">
        <v>292158</v>
      </c>
      <c r="BG231" s="37">
        <v>0</v>
      </c>
      <c r="BH231" s="43">
        <v>1518319</v>
      </c>
      <c r="BI231" s="37">
        <v>0</v>
      </c>
      <c r="BJ231" s="37">
        <v>0</v>
      </c>
      <c r="BK231" s="43">
        <v>2710</v>
      </c>
      <c r="BL231" s="37">
        <v>0</v>
      </c>
      <c r="BM231" s="37">
        <v>0</v>
      </c>
      <c r="BN231" s="37">
        <v>0</v>
      </c>
      <c r="BO231" s="37">
        <v>0</v>
      </c>
      <c r="BP231" s="37">
        <v>0</v>
      </c>
      <c r="BQ231" s="43">
        <v>99952</v>
      </c>
      <c r="BR231" s="37">
        <v>0</v>
      </c>
      <c r="BS231" s="43">
        <v>82160</v>
      </c>
      <c r="BT231" s="43">
        <v>24957</v>
      </c>
      <c r="BU231" s="37">
        <v>0</v>
      </c>
      <c r="BV231" s="37">
        <v>0</v>
      </c>
      <c r="BW231" s="37">
        <v>0</v>
      </c>
      <c r="BX231" s="43">
        <f>682779-608594-5000</f>
        <v>69185</v>
      </c>
      <c r="BY231" s="43">
        <f>1236851-3109-2722-145-191-5976-1218431-55</f>
        <v>6222</v>
      </c>
      <c r="BZ231" s="37">
        <v>0</v>
      </c>
      <c r="CA231" s="44">
        <f t="shared" si="21"/>
        <v>15032687</v>
      </c>
    </row>
    <row r="232" spans="1:79" x14ac:dyDescent="0.25">
      <c r="A232" s="54" t="s">
        <v>509</v>
      </c>
      <c r="B232" s="54" t="s">
        <v>510</v>
      </c>
      <c r="C232" s="43">
        <v>161797</v>
      </c>
      <c r="D232" s="43">
        <v>4026811</v>
      </c>
      <c r="E232" s="43">
        <v>962906</v>
      </c>
      <c r="F232" s="43">
        <v>2431712</v>
      </c>
      <c r="G232" s="43">
        <v>287496</v>
      </c>
      <c r="H232" s="43">
        <v>1598280</v>
      </c>
      <c r="I232" s="43">
        <v>237183</v>
      </c>
      <c r="J232" s="43">
        <v>7875220</v>
      </c>
      <c r="K232" s="43">
        <v>1735535</v>
      </c>
      <c r="L232" s="43">
        <v>945939</v>
      </c>
      <c r="M232" s="37">
        <v>0</v>
      </c>
      <c r="N232" s="43">
        <f>12437412-232023</f>
        <v>12205389</v>
      </c>
      <c r="O232" s="43">
        <v>15066585</v>
      </c>
      <c r="P232" s="43">
        <v>772715</v>
      </c>
      <c r="Q232" s="43">
        <f>27087766-69252-326393-9505-599709</f>
        <v>26082907</v>
      </c>
      <c r="R232" s="43">
        <v>624386</v>
      </c>
      <c r="S232" s="43">
        <v>774603</v>
      </c>
      <c r="T232" s="43">
        <v>2557419</v>
      </c>
      <c r="U232" s="37">
        <v>0</v>
      </c>
      <c r="V232" s="43">
        <v>3217143</v>
      </c>
      <c r="W232" s="43">
        <v>7013676</v>
      </c>
      <c r="X232" s="43">
        <v>2167533</v>
      </c>
      <c r="Y232" s="43">
        <v>9308098</v>
      </c>
      <c r="Z232" s="43">
        <v>1573796</v>
      </c>
      <c r="AA232" s="43">
        <v>671803</v>
      </c>
      <c r="AB232" s="43">
        <v>260799</v>
      </c>
      <c r="AC232" s="43">
        <v>1340875</v>
      </c>
      <c r="AD232" s="43">
        <v>1669595</v>
      </c>
      <c r="AE232" s="43">
        <v>145931</v>
      </c>
      <c r="AF232" s="43">
        <v>2338437</v>
      </c>
      <c r="AG232" s="43">
        <v>291584</v>
      </c>
      <c r="AH232" s="43">
        <f>1434542-10809</f>
        <v>1423733</v>
      </c>
      <c r="AI232" s="43">
        <v>8985326</v>
      </c>
      <c r="AJ232" s="43">
        <v>327314</v>
      </c>
      <c r="AK232" s="43">
        <v>1022296</v>
      </c>
      <c r="AL232" s="43">
        <v>321176</v>
      </c>
      <c r="AM232" s="44">
        <v>2444026</v>
      </c>
      <c r="AN232" s="43">
        <f>15781338-11675-141952-260011</f>
        <v>15367700</v>
      </c>
      <c r="AO232" s="37">
        <v>0</v>
      </c>
      <c r="AP232" s="43">
        <v>987286</v>
      </c>
      <c r="AQ232" s="43">
        <f>4351851-58169</f>
        <v>4293682</v>
      </c>
      <c r="AR232" s="43">
        <v>2005900</v>
      </c>
      <c r="AS232" s="43">
        <v>666311</v>
      </c>
      <c r="AT232" s="43">
        <v>530869</v>
      </c>
      <c r="AU232" s="37">
        <v>0</v>
      </c>
      <c r="AV232" s="43">
        <v>1351481</v>
      </c>
      <c r="AW232" s="43">
        <v>862716</v>
      </c>
      <c r="AX232" s="43">
        <v>1289637</v>
      </c>
      <c r="AY232" s="43">
        <v>7056460</v>
      </c>
      <c r="AZ232" s="43">
        <v>560885</v>
      </c>
      <c r="BA232" s="43">
        <v>2871889</v>
      </c>
      <c r="BB232" s="43">
        <v>17423</v>
      </c>
      <c r="BC232" s="43">
        <v>558144</v>
      </c>
      <c r="BD232" s="43">
        <v>1030290</v>
      </c>
      <c r="BE232" s="43">
        <v>4120603</v>
      </c>
      <c r="BF232" s="43">
        <v>6796221</v>
      </c>
      <c r="BG232" s="43">
        <v>7417789</v>
      </c>
      <c r="BH232" s="43">
        <v>7121105</v>
      </c>
      <c r="BI232" s="43">
        <v>1257996</v>
      </c>
      <c r="BJ232" s="43">
        <v>1796164</v>
      </c>
      <c r="BK232" s="43">
        <v>4661944</v>
      </c>
      <c r="BL232" s="43">
        <v>1976867</v>
      </c>
      <c r="BM232" s="43">
        <v>1095333</v>
      </c>
      <c r="BN232" s="43">
        <v>447843</v>
      </c>
      <c r="BO232" s="43">
        <v>2594001</v>
      </c>
      <c r="BP232" s="43">
        <v>3958334</v>
      </c>
      <c r="BQ232" s="43">
        <v>3796988</v>
      </c>
      <c r="BR232" s="43">
        <v>2851990</v>
      </c>
      <c r="BS232" s="43">
        <v>4495254</v>
      </c>
      <c r="BT232" s="43">
        <v>1355114</v>
      </c>
      <c r="BU232" s="43">
        <v>309546</v>
      </c>
      <c r="BV232" s="43">
        <v>3352728</v>
      </c>
      <c r="BW232" s="43">
        <v>1161645</v>
      </c>
      <c r="BX232" s="43">
        <f>9604009-3712-27727-84646-42230-453635-484041-236906-163071-170952-300013-144774-414509-31215-242413-22472-602668-64758-15540-149973-16000-52226-17419-240840-57131-242184-90216-3860-48121-11166-16615</f>
        <v>5152976</v>
      </c>
      <c r="BY232" s="43">
        <f>5158135-234046-21292-124345-9581-551892-193678-48639-226731-213188-68056-15579-396856-11440-4676-90825-37888</f>
        <v>2909423</v>
      </c>
      <c r="BZ232" s="43">
        <f>1053498-480000</f>
        <v>573498</v>
      </c>
      <c r="CA232" s="44">
        <f t="shared" si="21"/>
        <v>231524059</v>
      </c>
    </row>
    <row r="233" spans="1:79" x14ac:dyDescent="0.25">
      <c r="A233" s="54" t="s">
        <v>1372</v>
      </c>
      <c r="B233" s="54" t="s">
        <v>1373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7">
        <v>0</v>
      </c>
      <c r="X233" s="37">
        <v>0</v>
      </c>
      <c r="Y233" s="37">
        <v>0</v>
      </c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44">
        <v>0</v>
      </c>
      <c r="AN233" s="37">
        <v>0</v>
      </c>
      <c r="AO233" s="37">
        <v>0</v>
      </c>
      <c r="AP233" s="37">
        <v>0</v>
      </c>
      <c r="AQ233" s="37">
        <v>0</v>
      </c>
      <c r="AR233" s="37">
        <v>0</v>
      </c>
      <c r="AS233" s="37">
        <v>0</v>
      </c>
      <c r="AT233" s="37">
        <v>0</v>
      </c>
      <c r="AU233" s="37">
        <v>0</v>
      </c>
      <c r="AV233" s="37">
        <v>0</v>
      </c>
      <c r="AW233" s="37">
        <v>0</v>
      </c>
      <c r="AX233" s="37">
        <v>0</v>
      </c>
      <c r="AY233" s="37">
        <v>0</v>
      </c>
      <c r="AZ233" s="37">
        <v>0</v>
      </c>
      <c r="BA233" s="37">
        <v>0</v>
      </c>
      <c r="BB233" s="37">
        <v>0</v>
      </c>
      <c r="BC233" s="37">
        <v>0</v>
      </c>
      <c r="BD233" s="37">
        <v>0</v>
      </c>
      <c r="BE233" s="37">
        <v>0</v>
      </c>
      <c r="BF233" s="37">
        <v>0</v>
      </c>
      <c r="BG233" s="37">
        <v>0</v>
      </c>
      <c r="BH233" s="37">
        <v>0</v>
      </c>
      <c r="BI233" s="37">
        <v>0</v>
      </c>
      <c r="BJ233" s="37">
        <v>0</v>
      </c>
      <c r="BK233" s="37">
        <v>0</v>
      </c>
      <c r="BL233" s="37">
        <v>0</v>
      </c>
      <c r="BM233" s="37">
        <v>0</v>
      </c>
      <c r="BN233" s="37">
        <v>0</v>
      </c>
      <c r="BO233" s="37">
        <v>0</v>
      </c>
      <c r="BP233" s="37">
        <v>0</v>
      </c>
      <c r="BQ233" s="37">
        <v>0</v>
      </c>
      <c r="BR233" s="37">
        <v>0</v>
      </c>
      <c r="BS233" s="37">
        <v>0</v>
      </c>
      <c r="BT233" s="37">
        <v>0</v>
      </c>
      <c r="BU233" s="37">
        <v>0</v>
      </c>
      <c r="BV233" s="37">
        <v>0</v>
      </c>
      <c r="BW233" s="37">
        <v>0</v>
      </c>
      <c r="BX233" s="37">
        <v>0</v>
      </c>
      <c r="BY233" s="37">
        <v>0</v>
      </c>
      <c r="BZ233" s="37">
        <v>0</v>
      </c>
      <c r="CA233" s="44">
        <f t="shared" si="21"/>
        <v>0</v>
      </c>
    </row>
    <row r="234" spans="1:79" x14ac:dyDescent="0.25">
      <c r="A234" s="54" t="s">
        <v>511</v>
      </c>
      <c r="B234" s="54" t="s">
        <v>512</v>
      </c>
      <c r="AM234" s="44"/>
      <c r="CA234" s="44">
        <f t="shared" si="21"/>
        <v>0</v>
      </c>
    </row>
    <row r="235" spans="1:79" x14ac:dyDescent="0.25">
      <c r="A235" s="54" t="s">
        <v>513</v>
      </c>
      <c r="B235" s="54" t="s">
        <v>514</v>
      </c>
      <c r="C235" s="43">
        <v>145411</v>
      </c>
      <c r="D235" s="43">
        <v>682037</v>
      </c>
      <c r="E235" s="43">
        <v>56421</v>
      </c>
      <c r="F235" s="43">
        <v>350442</v>
      </c>
      <c r="G235" s="43">
        <v>175929</v>
      </c>
      <c r="H235" s="43">
        <v>157603</v>
      </c>
      <c r="I235" s="43">
        <v>127855</v>
      </c>
      <c r="J235" s="43">
        <v>491658</v>
      </c>
      <c r="K235" s="43">
        <v>28161</v>
      </c>
      <c r="L235" s="43">
        <v>116397</v>
      </c>
      <c r="M235" s="43">
        <v>74703</v>
      </c>
      <c r="N235" s="43">
        <v>663060</v>
      </c>
      <c r="O235" s="43">
        <v>1891251</v>
      </c>
      <c r="P235" s="43">
        <v>89963</v>
      </c>
      <c r="Q235" s="43">
        <v>1935061</v>
      </c>
      <c r="R235" s="43">
        <v>329511</v>
      </c>
      <c r="S235" s="43">
        <v>238003</v>
      </c>
      <c r="T235" s="43">
        <v>289012</v>
      </c>
      <c r="U235" s="37">
        <v>0</v>
      </c>
      <c r="V235" s="43">
        <v>285344</v>
      </c>
      <c r="W235" s="43">
        <v>377362</v>
      </c>
      <c r="X235" s="43">
        <v>59506</v>
      </c>
      <c r="Y235" s="43">
        <v>228239</v>
      </c>
      <c r="Z235" s="43">
        <v>867905</v>
      </c>
      <c r="AA235" s="43">
        <v>77445</v>
      </c>
      <c r="AB235" s="37">
        <v>0</v>
      </c>
      <c r="AC235" s="43">
        <v>170049</v>
      </c>
      <c r="AD235" s="43">
        <v>594560</v>
      </c>
      <c r="AE235" s="43">
        <v>52225</v>
      </c>
      <c r="AF235" s="43">
        <v>298623</v>
      </c>
      <c r="AG235" s="43">
        <v>60665</v>
      </c>
      <c r="AH235" s="43">
        <v>374330</v>
      </c>
      <c r="AI235" s="43">
        <v>2911837</v>
      </c>
      <c r="AJ235" s="43">
        <v>497857</v>
      </c>
      <c r="AK235" s="43">
        <v>38042</v>
      </c>
      <c r="AL235" s="37">
        <v>0</v>
      </c>
      <c r="AM235" s="44">
        <v>134985</v>
      </c>
      <c r="AN235" s="43">
        <v>1268857</v>
      </c>
      <c r="AO235" s="37">
        <v>0</v>
      </c>
      <c r="AP235" s="43">
        <v>415198</v>
      </c>
      <c r="AQ235" s="43">
        <v>406828</v>
      </c>
      <c r="AR235" s="37">
        <v>0</v>
      </c>
      <c r="AS235" s="37">
        <v>0</v>
      </c>
      <c r="AT235" s="43">
        <v>98070</v>
      </c>
      <c r="AU235" s="43">
        <v>712674</v>
      </c>
      <c r="AV235" s="43">
        <v>116266</v>
      </c>
      <c r="AW235" s="37">
        <v>0</v>
      </c>
      <c r="AX235" s="43">
        <v>168812</v>
      </c>
      <c r="AY235" s="43">
        <v>539662</v>
      </c>
      <c r="AZ235" s="43">
        <v>31380</v>
      </c>
      <c r="BA235" s="43">
        <v>214296</v>
      </c>
      <c r="BB235" s="43">
        <v>186452</v>
      </c>
      <c r="BC235" s="43">
        <v>335285</v>
      </c>
      <c r="BD235" s="43">
        <v>154651</v>
      </c>
      <c r="BE235" s="43">
        <v>387593</v>
      </c>
      <c r="BF235" s="43">
        <v>695735</v>
      </c>
      <c r="BG235" s="43">
        <v>1303170</v>
      </c>
      <c r="BH235" s="43">
        <v>115522</v>
      </c>
      <c r="BI235" s="43">
        <v>59505</v>
      </c>
      <c r="BJ235" s="43">
        <v>121627</v>
      </c>
      <c r="BK235" s="43">
        <v>317110</v>
      </c>
      <c r="BL235" s="43">
        <v>97683</v>
      </c>
      <c r="BM235" s="43">
        <v>144684</v>
      </c>
      <c r="BN235" s="43">
        <v>331086</v>
      </c>
      <c r="BO235" s="43">
        <v>599949</v>
      </c>
      <c r="BP235" s="43">
        <v>357747</v>
      </c>
      <c r="BQ235" s="43">
        <v>409972</v>
      </c>
      <c r="BR235" s="43">
        <v>191408</v>
      </c>
      <c r="BS235" s="43">
        <v>424270</v>
      </c>
      <c r="BT235" s="43">
        <v>164593</v>
      </c>
      <c r="BU235" s="43">
        <v>171088</v>
      </c>
      <c r="BV235" s="43">
        <v>519415</v>
      </c>
      <c r="BW235" s="43">
        <v>420979</v>
      </c>
      <c r="BX235" s="43">
        <v>134371</v>
      </c>
      <c r="BY235" s="37">
        <v>0</v>
      </c>
      <c r="BZ235" s="37">
        <v>0</v>
      </c>
      <c r="CA235" s="44">
        <f t="shared" si="21"/>
        <v>26487390</v>
      </c>
    </row>
    <row r="236" spans="1:79" x14ac:dyDescent="0.25">
      <c r="A236" s="54" t="s">
        <v>515</v>
      </c>
      <c r="B236" s="54" t="s">
        <v>516</v>
      </c>
      <c r="C236" s="43">
        <v>57035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7">
        <v>0</v>
      </c>
      <c r="T236" s="43">
        <v>121847</v>
      </c>
      <c r="U236" s="37">
        <v>0</v>
      </c>
      <c r="V236" s="37">
        <v>0</v>
      </c>
      <c r="W236" s="37">
        <v>0</v>
      </c>
      <c r="X236" s="37">
        <v>0</v>
      </c>
      <c r="Y236" s="37">
        <v>0</v>
      </c>
      <c r="Z236" s="37">
        <v>0</v>
      </c>
      <c r="AA236" s="37">
        <v>0</v>
      </c>
      <c r="AB236" s="43">
        <v>38596</v>
      </c>
      <c r="AC236" s="43">
        <v>14735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44">
        <v>0</v>
      </c>
      <c r="AN236" s="37">
        <v>0</v>
      </c>
      <c r="AO236" s="37">
        <v>0</v>
      </c>
      <c r="AP236" s="37">
        <v>0</v>
      </c>
      <c r="AQ236" s="37">
        <v>0</v>
      </c>
      <c r="AR236" s="43">
        <v>68096</v>
      </c>
      <c r="AS236" s="37">
        <v>0</v>
      </c>
      <c r="AT236" s="37">
        <v>0</v>
      </c>
      <c r="AU236" s="37">
        <v>0</v>
      </c>
      <c r="AV236" s="37">
        <v>0</v>
      </c>
      <c r="AW236" s="37">
        <v>0</v>
      </c>
      <c r="AX236" s="37">
        <v>0</v>
      </c>
      <c r="AY236" s="37">
        <v>0</v>
      </c>
      <c r="AZ236" s="37">
        <v>0</v>
      </c>
      <c r="BA236" s="37">
        <v>0</v>
      </c>
      <c r="BB236" s="37">
        <v>0</v>
      </c>
      <c r="BC236" s="37">
        <v>0</v>
      </c>
      <c r="BD236" s="37">
        <v>0</v>
      </c>
      <c r="BE236" s="37">
        <v>0</v>
      </c>
      <c r="BF236" s="37">
        <v>0</v>
      </c>
      <c r="BG236" s="37">
        <v>0</v>
      </c>
      <c r="BH236" s="37">
        <v>0</v>
      </c>
      <c r="BI236" s="37">
        <v>0</v>
      </c>
      <c r="BJ236" s="37">
        <v>0</v>
      </c>
      <c r="BK236" s="37">
        <v>0</v>
      </c>
      <c r="BL236" s="37">
        <v>0</v>
      </c>
      <c r="BM236" s="37">
        <v>0</v>
      </c>
      <c r="BN236" s="37">
        <v>0</v>
      </c>
      <c r="BO236" s="37">
        <v>0</v>
      </c>
      <c r="BP236" s="37">
        <v>0</v>
      </c>
      <c r="BQ236" s="37">
        <v>0</v>
      </c>
      <c r="BR236" s="43">
        <v>94080</v>
      </c>
      <c r="BS236" s="37">
        <v>0</v>
      </c>
      <c r="BT236" s="37">
        <v>0</v>
      </c>
      <c r="BU236" s="37">
        <v>0</v>
      </c>
      <c r="BV236" s="37">
        <v>0</v>
      </c>
      <c r="BW236" s="37">
        <v>0</v>
      </c>
      <c r="BX236" s="37">
        <v>0</v>
      </c>
      <c r="BY236" s="37">
        <v>0</v>
      </c>
      <c r="BZ236" s="37">
        <v>0</v>
      </c>
      <c r="CA236" s="44">
        <f t="shared" si="21"/>
        <v>394389</v>
      </c>
    </row>
    <row r="237" spans="1:79" x14ac:dyDescent="0.25">
      <c r="A237" s="54" t="s">
        <v>517</v>
      </c>
      <c r="B237" s="54" t="s">
        <v>518</v>
      </c>
      <c r="C237" s="43">
        <v>139104</v>
      </c>
      <c r="D237" s="43">
        <v>693832</v>
      </c>
      <c r="E237" s="43">
        <v>92609</v>
      </c>
      <c r="F237" s="43">
        <v>186712</v>
      </c>
      <c r="G237" s="43">
        <v>54901</v>
      </c>
      <c r="H237" s="43">
        <v>75396</v>
      </c>
      <c r="I237" s="43">
        <v>47542</v>
      </c>
      <c r="J237" s="43">
        <v>350935</v>
      </c>
      <c r="K237" s="43">
        <v>95780</v>
      </c>
      <c r="L237" s="37">
        <v>0</v>
      </c>
      <c r="M237" s="37">
        <v>0</v>
      </c>
      <c r="N237" s="43">
        <v>647269</v>
      </c>
      <c r="O237" s="43">
        <v>751699</v>
      </c>
      <c r="P237" s="43">
        <v>37541</v>
      </c>
      <c r="Q237" s="43">
        <v>1124409</v>
      </c>
      <c r="R237" s="43">
        <v>146302</v>
      </c>
      <c r="S237" s="43">
        <v>104054</v>
      </c>
      <c r="T237" s="43">
        <v>252593</v>
      </c>
      <c r="U237" s="37">
        <v>0</v>
      </c>
      <c r="V237" s="43">
        <v>424674</v>
      </c>
      <c r="W237" s="43">
        <v>443131</v>
      </c>
      <c r="X237" s="43">
        <v>82133</v>
      </c>
      <c r="Y237" s="43">
        <v>285229</v>
      </c>
      <c r="Z237" s="43">
        <v>596410</v>
      </c>
      <c r="AA237" s="43">
        <v>101073</v>
      </c>
      <c r="AB237" s="43">
        <v>88633</v>
      </c>
      <c r="AC237" s="43">
        <v>125032</v>
      </c>
      <c r="AD237" s="43">
        <v>429367</v>
      </c>
      <c r="AE237" s="43">
        <v>11174</v>
      </c>
      <c r="AF237" s="43">
        <v>181491</v>
      </c>
      <c r="AG237" s="43">
        <v>11285</v>
      </c>
      <c r="AH237" s="43">
        <v>417313</v>
      </c>
      <c r="AI237" s="43">
        <v>1743840</v>
      </c>
      <c r="AJ237" s="43">
        <v>409829</v>
      </c>
      <c r="AK237" s="43">
        <v>13259</v>
      </c>
      <c r="AL237" s="43">
        <v>36083</v>
      </c>
      <c r="AM237" s="44">
        <v>56843</v>
      </c>
      <c r="AN237" s="43">
        <f>1867288-233-200-742</f>
        <v>1866113</v>
      </c>
      <c r="AO237" s="37">
        <v>0</v>
      </c>
      <c r="AP237" s="43">
        <v>229111</v>
      </c>
      <c r="AQ237" s="43">
        <v>244019</v>
      </c>
      <c r="AR237" s="43">
        <v>217498</v>
      </c>
      <c r="AS237" s="43">
        <v>80665</v>
      </c>
      <c r="AT237" s="43">
        <v>86114</v>
      </c>
      <c r="AU237" s="43">
        <v>281102</v>
      </c>
      <c r="AV237" s="43">
        <v>280896</v>
      </c>
      <c r="AW237" s="43">
        <v>79285</v>
      </c>
      <c r="AX237" s="43">
        <v>82620</v>
      </c>
      <c r="AY237" s="43">
        <v>99608</v>
      </c>
      <c r="AZ237" s="43">
        <v>65973</v>
      </c>
      <c r="BA237" s="43">
        <v>154390</v>
      </c>
      <c r="BB237" s="43">
        <v>142588</v>
      </c>
      <c r="BC237" s="43">
        <v>115922</v>
      </c>
      <c r="BD237" s="43">
        <v>269060</v>
      </c>
      <c r="BE237" s="43">
        <v>470072</v>
      </c>
      <c r="BF237" s="43">
        <v>295013</v>
      </c>
      <c r="BG237" s="43">
        <v>1266251</v>
      </c>
      <c r="BH237" s="43">
        <v>453309</v>
      </c>
      <c r="BI237" s="43">
        <v>19782</v>
      </c>
      <c r="BJ237" s="43">
        <v>110098</v>
      </c>
      <c r="BK237" s="43">
        <v>184065</v>
      </c>
      <c r="BL237" s="43">
        <v>54280</v>
      </c>
      <c r="BM237" s="43">
        <v>66090</v>
      </c>
      <c r="BN237" s="43">
        <v>107162</v>
      </c>
      <c r="BO237" s="43">
        <v>365710</v>
      </c>
      <c r="BP237" s="43">
        <v>253094</v>
      </c>
      <c r="BQ237" s="43">
        <v>508646</v>
      </c>
      <c r="BR237" s="43">
        <v>96719</v>
      </c>
      <c r="BS237" s="43">
        <v>433078</v>
      </c>
      <c r="BT237" s="43">
        <v>134741</v>
      </c>
      <c r="BU237" s="43">
        <v>51777</v>
      </c>
      <c r="BV237" s="43">
        <v>426262</v>
      </c>
      <c r="BW237" s="43">
        <v>35520</v>
      </c>
      <c r="BX237" s="43">
        <f>694357-5214-2000-14227-2643-1204-34588-836-2773-1000-29149-109658-9481-7000-2567-12614-17364</f>
        <v>442039</v>
      </c>
      <c r="BY237" s="43">
        <f>592546-9592-51819-6708-2113-29582-72950-3991-7748-9727</f>
        <v>398316</v>
      </c>
      <c r="BZ237" s="37">
        <v>0</v>
      </c>
      <c r="CA237" s="44">
        <f t="shared" si="21"/>
        <v>20724465</v>
      </c>
    </row>
    <row r="238" spans="1:79" x14ac:dyDescent="0.25">
      <c r="A238" s="54" t="s">
        <v>519</v>
      </c>
      <c r="B238" s="54" t="s">
        <v>520</v>
      </c>
      <c r="C238" s="43">
        <v>32711</v>
      </c>
      <c r="D238" s="43">
        <v>3041797</v>
      </c>
      <c r="E238" s="43">
        <v>180274</v>
      </c>
      <c r="F238" s="43">
        <v>215242</v>
      </c>
      <c r="G238" s="43">
        <v>102752</v>
      </c>
      <c r="H238" s="43">
        <v>33325</v>
      </c>
      <c r="I238" s="43">
        <v>54600</v>
      </c>
      <c r="J238" s="43">
        <v>231117</v>
      </c>
      <c r="K238" s="43">
        <v>134274</v>
      </c>
      <c r="L238" s="43">
        <v>1264702</v>
      </c>
      <c r="M238" s="43">
        <v>1259223</v>
      </c>
      <c r="N238" s="43">
        <f>3859871-6459</f>
        <v>3853412</v>
      </c>
      <c r="O238" s="43">
        <v>4981141</v>
      </c>
      <c r="P238" s="43">
        <v>151195</v>
      </c>
      <c r="Q238" s="43">
        <f>17028261-41807-73383-61301</f>
        <v>16851770</v>
      </c>
      <c r="R238" s="43">
        <v>65334</v>
      </c>
      <c r="S238" s="43">
        <v>216731</v>
      </c>
      <c r="T238" s="43">
        <v>279729</v>
      </c>
      <c r="U238" s="37">
        <v>0</v>
      </c>
      <c r="V238" s="43">
        <v>210083</v>
      </c>
      <c r="W238" s="43">
        <v>294925</v>
      </c>
      <c r="X238" s="37">
        <v>600</v>
      </c>
      <c r="Y238" s="43">
        <v>412696</v>
      </c>
      <c r="Z238" s="43">
        <v>857800</v>
      </c>
      <c r="AA238" s="37">
        <v>300</v>
      </c>
      <c r="AB238" s="43">
        <v>75784</v>
      </c>
      <c r="AC238" s="43">
        <v>312889</v>
      </c>
      <c r="AD238" s="43">
        <v>307740</v>
      </c>
      <c r="AE238" s="37">
        <v>300</v>
      </c>
      <c r="AF238" s="43">
        <v>1121883</v>
      </c>
      <c r="AG238" s="37">
        <v>300</v>
      </c>
      <c r="AH238" s="43">
        <f>2359889-3250</f>
        <v>2356639</v>
      </c>
      <c r="AI238" s="43">
        <v>3662589</v>
      </c>
      <c r="AJ238" s="43">
        <v>509512</v>
      </c>
      <c r="AK238" s="43">
        <v>3230</v>
      </c>
      <c r="AL238" s="43">
        <v>4867</v>
      </c>
      <c r="AM238" s="44">
        <v>1701593</v>
      </c>
      <c r="AN238" s="43">
        <f>999809-14970-71596</f>
        <v>913243</v>
      </c>
      <c r="AO238" s="37">
        <v>0</v>
      </c>
      <c r="AP238" s="43">
        <v>834341</v>
      </c>
      <c r="AQ238" s="43">
        <v>4468346</v>
      </c>
      <c r="AR238" s="43">
        <v>333392</v>
      </c>
      <c r="AS238" s="43">
        <v>201999</v>
      </c>
      <c r="AT238" s="43">
        <v>71357</v>
      </c>
      <c r="AU238" s="43">
        <v>387244</v>
      </c>
      <c r="AV238" s="43">
        <v>500546</v>
      </c>
      <c r="AW238" s="43">
        <v>96630</v>
      </c>
      <c r="AX238" s="43">
        <v>322927</v>
      </c>
      <c r="AY238" s="43">
        <v>2916302</v>
      </c>
      <c r="AZ238" s="43">
        <v>68574</v>
      </c>
      <c r="BA238" s="43">
        <v>762732</v>
      </c>
      <c r="BB238" s="43">
        <v>1107416</v>
      </c>
      <c r="BC238" s="43">
        <v>147640</v>
      </c>
      <c r="BD238" s="43">
        <v>850727</v>
      </c>
      <c r="BE238" s="43">
        <v>3760936</v>
      </c>
      <c r="BF238" s="43">
        <v>1761472</v>
      </c>
      <c r="BG238" s="43">
        <v>5428379</v>
      </c>
      <c r="BH238" s="43">
        <v>5363018</v>
      </c>
      <c r="BI238" s="43">
        <v>14832</v>
      </c>
      <c r="BJ238" s="43">
        <v>191446</v>
      </c>
      <c r="BK238" s="43">
        <v>589030</v>
      </c>
      <c r="BL238" s="43">
        <v>582822</v>
      </c>
      <c r="BM238" s="43">
        <v>51467</v>
      </c>
      <c r="BN238" s="43">
        <v>284273</v>
      </c>
      <c r="BO238" s="43">
        <v>513861</v>
      </c>
      <c r="BP238" s="43">
        <v>1761903</v>
      </c>
      <c r="BQ238" s="43">
        <v>357045</v>
      </c>
      <c r="BR238" s="43">
        <v>87384</v>
      </c>
      <c r="BS238" s="43">
        <v>58150</v>
      </c>
      <c r="BT238" s="43">
        <v>519658</v>
      </c>
      <c r="BU238" s="43">
        <v>98422</v>
      </c>
      <c r="BV238" s="43">
        <v>350344</v>
      </c>
      <c r="BW238" s="43">
        <v>1849785</v>
      </c>
      <c r="BX238" s="43">
        <f>3277301-36342-35289-205655-3429-3932-6000-3751-19626-352771-205435-117379-139411-36776-11778-21160-521999-143554-114870-185058-6797-121035-8000-2198-39236-10000-238574-14653-3822-48055-4295</f>
        <v>616421</v>
      </c>
      <c r="BY238" s="43">
        <f>2466473-241587-88743-244590-27646-436641-117600-440885-788-9519-423287-254167</f>
        <v>181020</v>
      </c>
      <c r="BZ238" s="43">
        <f>46190-2904-4023</f>
        <v>39263</v>
      </c>
      <c r="CA238" s="44">
        <f t="shared" si="21"/>
        <v>83227406</v>
      </c>
    </row>
    <row r="239" spans="1:79" x14ac:dyDescent="0.25">
      <c r="A239" s="37" t="s">
        <v>182</v>
      </c>
      <c r="B239" s="37" t="s">
        <v>521</v>
      </c>
      <c r="C239" s="43">
        <f>SUM(C186:C238)</f>
        <v>6356204</v>
      </c>
      <c r="D239" s="43">
        <f t="shared" ref="D239:BO239" si="22">SUM(D186:D238)</f>
        <v>50429729</v>
      </c>
      <c r="E239" s="43">
        <f t="shared" si="22"/>
        <v>6660891</v>
      </c>
      <c r="F239" s="43">
        <f t="shared" si="22"/>
        <v>15503242</v>
      </c>
      <c r="G239" s="43">
        <f t="shared" si="22"/>
        <v>7617713</v>
      </c>
      <c r="H239" s="43">
        <f t="shared" si="22"/>
        <v>9528474</v>
      </c>
      <c r="I239" s="43">
        <f t="shared" si="22"/>
        <v>5214049</v>
      </c>
      <c r="J239" s="43">
        <f t="shared" si="22"/>
        <v>35168478</v>
      </c>
      <c r="K239" s="43">
        <f t="shared" si="22"/>
        <v>8108553</v>
      </c>
      <c r="L239" s="43">
        <f t="shared" si="22"/>
        <v>8686698</v>
      </c>
      <c r="M239" s="43">
        <f t="shared" si="22"/>
        <v>7898373</v>
      </c>
      <c r="N239" s="43">
        <f t="shared" si="22"/>
        <v>59356670</v>
      </c>
      <c r="O239" s="43">
        <f t="shared" si="22"/>
        <v>86100281</v>
      </c>
      <c r="P239" s="43">
        <f t="shared" si="22"/>
        <v>4849390</v>
      </c>
      <c r="Q239" s="43">
        <f t="shared" si="22"/>
        <v>176333191</v>
      </c>
      <c r="R239" s="43">
        <f t="shared" si="22"/>
        <v>24910681</v>
      </c>
      <c r="S239" s="43">
        <f t="shared" si="22"/>
        <v>14934190</v>
      </c>
      <c r="T239" s="43">
        <f t="shared" si="22"/>
        <v>19392058</v>
      </c>
      <c r="U239" s="43">
        <f t="shared" si="22"/>
        <v>0</v>
      </c>
      <c r="V239" s="43">
        <f t="shared" si="22"/>
        <v>20565388</v>
      </c>
      <c r="W239" s="43">
        <f t="shared" si="22"/>
        <v>36867503</v>
      </c>
      <c r="X239" s="43">
        <f t="shared" si="22"/>
        <v>10359404</v>
      </c>
      <c r="Y239" s="43">
        <f t="shared" si="22"/>
        <v>30283621</v>
      </c>
      <c r="Z239" s="43">
        <f t="shared" si="22"/>
        <v>41610825</v>
      </c>
      <c r="AA239" s="43">
        <f t="shared" si="22"/>
        <v>5772933</v>
      </c>
      <c r="AB239" s="43">
        <f t="shared" si="22"/>
        <v>6934881</v>
      </c>
      <c r="AC239" s="43">
        <f t="shared" si="22"/>
        <v>8817974</v>
      </c>
      <c r="AD239" s="43">
        <f t="shared" si="22"/>
        <v>44871010</v>
      </c>
      <c r="AE239" s="43">
        <f t="shared" si="22"/>
        <v>4944063</v>
      </c>
      <c r="AF239" s="43">
        <f t="shared" si="22"/>
        <v>14826197</v>
      </c>
      <c r="AG239" s="43">
        <f t="shared" si="22"/>
        <v>3162457</v>
      </c>
      <c r="AH239" s="43">
        <f t="shared" si="22"/>
        <v>22803936</v>
      </c>
      <c r="AI239" s="43">
        <f t="shared" si="22"/>
        <v>160957353</v>
      </c>
      <c r="AJ239" s="43">
        <f t="shared" si="22"/>
        <v>29161158</v>
      </c>
      <c r="AK239" s="43">
        <f t="shared" si="22"/>
        <v>5566945</v>
      </c>
      <c r="AL239" s="43">
        <f t="shared" si="22"/>
        <v>4194735</v>
      </c>
      <c r="AM239" s="43">
        <f t="shared" si="22"/>
        <v>11190296</v>
      </c>
      <c r="AN239" s="43">
        <f t="shared" si="22"/>
        <v>126389042</v>
      </c>
      <c r="AO239" s="43">
        <f t="shared" si="22"/>
        <v>0</v>
      </c>
      <c r="AP239" s="43">
        <f t="shared" si="22"/>
        <v>20254331</v>
      </c>
      <c r="AQ239" s="43">
        <f t="shared" si="22"/>
        <v>27590257</v>
      </c>
      <c r="AR239" s="43">
        <f t="shared" si="22"/>
        <v>17822192</v>
      </c>
      <c r="AS239" s="43">
        <f t="shared" si="22"/>
        <v>11526967</v>
      </c>
      <c r="AT239" s="43">
        <f t="shared" si="22"/>
        <v>7675252</v>
      </c>
      <c r="AU239" s="43">
        <f t="shared" si="22"/>
        <v>32695663</v>
      </c>
      <c r="AV239" s="43">
        <f t="shared" si="22"/>
        <v>18316940</v>
      </c>
      <c r="AW239" s="43">
        <f t="shared" si="22"/>
        <v>8206062</v>
      </c>
      <c r="AX239" s="43">
        <f t="shared" si="22"/>
        <v>12864210</v>
      </c>
      <c r="AY239" s="43">
        <f t="shared" si="22"/>
        <v>25529945</v>
      </c>
      <c r="AZ239" s="43">
        <f t="shared" si="22"/>
        <v>3627325</v>
      </c>
      <c r="BA239" s="43">
        <f t="shared" si="22"/>
        <v>17172157</v>
      </c>
      <c r="BB239" s="43">
        <f t="shared" si="22"/>
        <v>18613735</v>
      </c>
      <c r="BC239" s="43">
        <f t="shared" si="22"/>
        <v>19344606</v>
      </c>
      <c r="BD239" s="43">
        <f t="shared" si="22"/>
        <v>18800849</v>
      </c>
      <c r="BE239" s="43">
        <f t="shared" si="22"/>
        <v>49833380</v>
      </c>
      <c r="BF239" s="43">
        <f t="shared" si="22"/>
        <v>37299357</v>
      </c>
      <c r="BG239" s="43">
        <f t="shared" si="22"/>
        <v>88746015</v>
      </c>
      <c r="BH239" s="43">
        <f t="shared" si="22"/>
        <v>48897282</v>
      </c>
      <c r="BI239" s="43">
        <f t="shared" si="22"/>
        <v>8030190</v>
      </c>
      <c r="BJ239" s="43">
        <f t="shared" si="22"/>
        <v>16123789</v>
      </c>
      <c r="BK239" s="43">
        <f t="shared" si="22"/>
        <v>20470236</v>
      </c>
      <c r="BL239" s="43">
        <f t="shared" si="22"/>
        <v>9292647</v>
      </c>
      <c r="BM239" s="43">
        <f t="shared" si="22"/>
        <v>5747560</v>
      </c>
      <c r="BN239" s="43">
        <f t="shared" si="22"/>
        <v>13465352</v>
      </c>
      <c r="BO239" s="43">
        <f t="shared" si="22"/>
        <v>31486356</v>
      </c>
      <c r="BP239" s="43">
        <f t="shared" ref="BP239:CA239" si="23">SUM(BP186:BP238)</f>
        <v>24269217</v>
      </c>
      <c r="BQ239" s="43">
        <f t="shared" si="23"/>
        <v>43562401</v>
      </c>
      <c r="BR239" s="43">
        <f t="shared" si="23"/>
        <v>12833432</v>
      </c>
      <c r="BS239" s="43">
        <f t="shared" si="23"/>
        <v>25354267</v>
      </c>
      <c r="BT239" s="43">
        <f t="shared" si="23"/>
        <v>10507459</v>
      </c>
      <c r="BU239" s="43">
        <f t="shared" si="23"/>
        <v>10809715</v>
      </c>
      <c r="BV239" s="43">
        <f t="shared" si="23"/>
        <v>33351653</v>
      </c>
      <c r="BW239" s="43">
        <f t="shared" si="23"/>
        <v>11935534</v>
      </c>
      <c r="BX239" s="43">
        <f t="shared" si="23"/>
        <v>29975424</v>
      </c>
      <c r="BY239" s="43">
        <f t="shared" si="23"/>
        <v>26027404</v>
      </c>
      <c r="BZ239" s="43">
        <f t="shared" si="23"/>
        <v>1866289</v>
      </c>
      <c r="CA239" s="44">
        <f t="shared" si="23"/>
        <v>1956254036</v>
      </c>
    </row>
    <row r="240" spans="1:79" x14ac:dyDescent="0.25">
      <c r="A240" s="37" t="s">
        <v>522</v>
      </c>
      <c r="B240" s="37" t="s">
        <v>523</v>
      </c>
      <c r="AM240" s="44"/>
      <c r="CA240" s="44">
        <f t="shared" si="21"/>
        <v>0</v>
      </c>
    </row>
    <row r="241" spans="1:79" x14ac:dyDescent="0.25">
      <c r="A241" s="37" t="s">
        <v>524</v>
      </c>
      <c r="B241" s="37" t="s">
        <v>525</v>
      </c>
      <c r="AM241" s="44"/>
      <c r="CA241" s="44">
        <f t="shared" si="21"/>
        <v>0</v>
      </c>
    </row>
    <row r="242" spans="1:79" x14ac:dyDescent="0.25">
      <c r="A242" s="37" t="s">
        <v>524</v>
      </c>
      <c r="B242" s="37" t="s">
        <v>525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0</v>
      </c>
      <c r="AM242" s="44">
        <v>0</v>
      </c>
      <c r="AN242" s="37">
        <v>0</v>
      </c>
      <c r="AO242" s="37">
        <v>0</v>
      </c>
      <c r="AP242" s="37">
        <v>0</v>
      </c>
      <c r="AQ242" s="37">
        <v>0</v>
      </c>
      <c r="AR242" s="37">
        <v>0</v>
      </c>
      <c r="AS242" s="37">
        <v>0</v>
      </c>
      <c r="AT242" s="37">
        <v>0</v>
      </c>
      <c r="AU242" s="37">
        <v>0</v>
      </c>
      <c r="AV242" s="37">
        <v>0</v>
      </c>
      <c r="AW242" s="37">
        <v>0</v>
      </c>
      <c r="AX242" s="37">
        <v>0</v>
      </c>
      <c r="AY242" s="37">
        <v>0</v>
      </c>
      <c r="AZ242" s="37">
        <v>0</v>
      </c>
      <c r="BA242" s="37">
        <v>0</v>
      </c>
      <c r="BB242" s="37">
        <v>0</v>
      </c>
      <c r="BC242" s="37">
        <v>0</v>
      </c>
      <c r="BD242" s="37">
        <v>0</v>
      </c>
      <c r="BE242" s="37">
        <v>0</v>
      </c>
      <c r="BF242" s="37">
        <v>0</v>
      </c>
      <c r="BG242" s="37">
        <v>0</v>
      </c>
      <c r="BH242" s="37">
        <v>0</v>
      </c>
      <c r="BI242" s="37">
        <v>0</v>
      </c>
      <c r="BJ242" s="37">
        <v>0</v>
      </c>
      <c r="BK242" s="37">
        <v>0</v>
      </c>
      <c r="BL242" s="37">
        <v>0</v>
      </c>
      <c r="BM242" s="37">
        <v>0</v>
      </c>
      <c r="BN242" s="37">
        <v>0</v>
      </c>
      <c r="BO242" s="37">
        <v>0</v>
      </c>
      <c r="BP242" s="37">
        <v>0</v>
      </c>
      <c r="BQ242" s="37">
        <v>0</v>
      </c>
      <c r="BR242" s="37">
        <v>0</v>
      </c>
      <c r="BS242" s="37">
        <v>0</v>
      </c>
      <c r="BT242" s="37">
        <v>0</v>
      </c>
      <c r="BU242" s="37">
        <v>0</v>
      </c>
      <c r="BV242" s="37">
        <v>0</v>
      </c>
      <c r="BW242" s="37">
        <v>0</v>
      </c>
      <c r="BX242" s="37">
        <v>0</v>
      </c>
      <c r="BY242" s="37">
        <v>0</v>
      </c>
      <c r="BZ242" s="37">
        <v>0</v>
      </c>
      <c r="CA242" s="44">
        <f t="shared" si="21"/>
        <v>0</v>
      </c>
    </row>
    <row r="243" spans="1:79" x14ac:dyDescent="0.25">
      <c r="A243" s="37" t="s">
        <v>526</v>
      </c>
      <c r="B243" s="37" t="s">
        <v>527</v>
      </c>
      <c r="C243" s="37">
        <v>0</v>
      </c>
      <c r="D243" s="43">
        <v>818890</v>
      </c>
      <c r="E243" s="37">
        <v>0</v>
      </c>
      <c r="F243" s="43">
        <v>1967431</v>
      </c>
      <c r="G243" s="37">
        <v>0</v>
      </c>
      <c r="H243" s="37">
        <v>0</v>
      </c>
      <c r="I243" s="43">
        <v>31239</v>
      </c>
      <c r="J243" s="37">
        <v>0</v>
      </c>
      <c r="K243" s="43">
        <v>18490</v>
      </c>
      <c r="L243" s="37">
        <v>0</v>
      </c>
      <c r="M243" s="37">
        <v>0</v>
      </c>
      <c r="N243" s="43">
        <v>1246457</v>
      </c>
      <c r="O243" s="37">
        <v>0</v>
      </c>
      <c r="P243" s="43">
        <v>19979</v>
      </c>
      <c r="Q243" s="37">
        <v>0</v>
      </c>
      <c r="R243" s="43">
        <v>146213</v>
      </c>
      <c r="S243" s="43">
        <v>120837</v>
      </c>
      <c r="T243" s="43">
        <v>34337</v>
      </c>
      <c r="U243" s="37">
        <v>0</v>
      </c>
      <c r="V243" s="43">
        <v>105896</v>
      </c>
      <c r="W243" s="37">
        <v>0</v>
      </c>
      <c r="X243" s="37">
        <v>0</v>
      </c>
      <c r="Y243" s="37">
        <v>0</v>
      </c>
      <c r="Z243" s="43">
        <v>304930</v>
      </c>
      <c r="AA243" s="37">
        <v>0</v>
      </c>
      <c r="AB243" s="37">
        <v>0</v>
      </c>
      <c r="AC243" s="43">
        <v>53298</v>
      </c>
      <c r="AD243" s="43">
        <v>914395</v>
      </c>
      <c r="AE243" s="37">
        <v>0</v>
      </c>
      <c r="AF243" s="37">
        <v>0</v>
      </c>
      <c r="AG243" s="37">
        <v>0</v>
      </c>
      <c r="AH243" s="43">
        <v>124881</v>
      </c>
      <c r="AI243" s="37">
        <v>0</v>
      </c>
      <c r="AJ243" s="37">
        <v>0</v>
      </c>
      <c r="AK243" s="37">
        <v>0</v>
      </c>
      <c r="AL243" s="37">
        <v>0</v>
      </c>
      <c r="AM243" s="44">
        <v>11306</v>
      </c>
      <c r="AN243" s="37">
        <v>0</v>
      </c>
      <c r="AO243" s="37">
        <v>0</v>
      </c>
      <c r="AP243" s="43">
        <v>104260</v>
      </c>
      <c r="AQ243" s="37">
        <v>0</v>
      </c>
      <c r="AR243" s="37">
        <v>0</v>
      </c>
      <c r="AS243" s="37">
        <v>0</v>
      </c>
      <c r="AT243" s="43">
        <v>11264</v>
      </c>
      <c r="AU243" s="37">
        <v>0</v>
      </c>
      <c r="AV243" s="37">
        <v>0</v>
      </c>
      <c r="AW243" s="43">
        <v>6820750</v>
      </c>
      <c r="AX243" s="43">
        <v>16324</v>
      </c>
      <c r="AY243" s="37">
        <v>0</v>
      </c>
      <c r="AZ243" s="43">
        <v>18006</v>
      </c>
      <c r="BA243" s="37">
        <v>0</v>
      </c>
      <c r="BB243" s="37">
        <v>0</v>
      </c>
      <c r="BC243" s="37">
        <v>0</v>
      </c>
      <c r="BD243" s="43">
        <v>861934</v>
      </c>
      <c r="BE243" s="43">
        <v>53000</v>
      </c>
      <c r="BF243" s="43">
        <v>353005</v>
      </c>
      <c r="BG243" s="43">
        <v>233800</v>
      </c>
      <c r="BH243" s="43">
        <v>18040638</v>
      </c>
      <c r="BI243" s="37">
        <v>0</v>
      </c>
      <c r="BJ243" s="43">
        <v>41359</v>
      </c>
      <c r="BK243" s="43">
        <v>1196143</v>
      </c>
      <c r="BL243" s="37">
        <v>0</v>
      </c>
      <c r="BM243" s="43">
        <v>4935214</v>
      </c>
      <c r="BN243" s="43">
        <v>10481619</v>
      </c>
      <c r="BO243" s="43">
        <v>503046</v>
      </c>
      <c r="BP243" s="43">
        <v>550348</v>
      </c>
      <c r="BQ243" s="43">
        <v>193827</v>
      </c>
      <c r="BR243" s="43">
        <v>30217</v>
      </c>
      <c r="BS243" s="37">
        <v>0</v>
      </c>
      <c r="BT243" s="37">
        <v>0</v>
      </c>
      <c r="BU243" s="37">
        <v>0</v>
      </c>
      <c r="BV243" s="43">
        <v>121243</v>
      </c>
      <c r="BW243" s="43">
        <v>1185262</v>
      </c>
      <c r="BX243" s="37">
        <v>0</v>
      </c>
      <c r="BY243" s="37">
        <v>0</v>
      </c>
      <c r="BZ243" s="37">
        <v>0</v>
      </c>
      <c r="CA243" s="44">
        <f t="shared" si="21"/>
        <v>51669838</v>
      </c>
    </row>
    <row r="244" spans="1:79" x14ac:dyDescent="0.25">
      <c r="A244" s="37" t="s">
        <v>528</v>
      </c>
      <c r="B244" s="37" t="s">
        <v>529</v>
      </c>
      <c r="C244" s="37">
        <v>0</v>
      </c>
      <c r="D244" s="43">
        <v>18500000</v>
      </c>
      <c r="E244" s="37">
        <v>0</v>
      </c>
      <c r="F244" s="43">
        <v>20000000</v>
      </c>
      <c r="G244" s="43">
        <v>2242000</v>
      </c>
      <c r="H244" s="43">
        <v>1500000</v>
      </c>
      <c r="I244" s="43">
        <v>4210000</v>
      </c>
      <c r="J244" s="37">
        <v>0</v>
      </c>
      <c r="K244" s="37">
        <v>0</v>
      </c>
      <c r="L244" s="43">
        <v>757663</v>
      </c>
      <c r="M244" s="37">
        <v>0</v>
      </c>
      <c r="N244" s="43">
        <v>25000000</v>
      </c>
      <c r="O244" s="37">
        <v>0</v>
      </c>
      <c r="P244" s="37">
        <v>0</v>
      </c>
      <c r="Q244" s="37">
        <v>0</v>
      </c>
      <c r="R244" s="43">
        <v>8676000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37">
        <v>0</v>
      </c>
      <c r="AA244" s="43">
        <v>35000000</v>
      </c>
      <c r="AB244" s="43">
        <v>1563000</v>
      </c>
      <c r="AC244" s="37">
        <v>0</v>
      </c>
      <c r="AD244" s="43">
        <v>26700000</v>
      </c>
      <c r="AE244" s="37">
        <v>0</v>
      </c>
      <c r="AF244" s="43">
        <v>1200000</v>
      </c>
      <c r="AG244" s="43">
        <v>1160000</v>
      </c>
      <c r="AH244" s="37">
        <v>0</v>
      </c>
      <c r="AI244" s="37">
        <v>0</v>
      </c>
      <c r="AJ244" s="37">
        <v>0</v>
      </c>
      <c r="AK244" s="37">
        <v>0</v>
      </c>
      <c r="AL244" s="43">
        <v>850000</v>
      </c>
      <c r="AM244" s="44">
        <v>0</v>
      </c>
      <c r="AN244" s="37">
        <v>0</v>
      </c>
      <c r="AO244" s="37">
        <v>0</v>
      </c>
      <c r="AP244" s="37">
        <v>0</v>
      </c>
      <c r="AQ244" s="37">
        <v>0</v>
      </c>
      <c r="AR244" s="37">
        <v>0</v>
      </c>
      <c r="AS244" s="37">
        <v>0</v>
      </c>
      <c r="AT244" s="43">
        <v>827000</v>
      </c>
      <c r="AU244" s="37">
        <v>0</v>
      </c>
      <c r="AV244" s="37">
        <v>0</v>
      </c>
      <c r="AW244" s="43">
        <v>65500000</v>
      </c>
      <c r="AX244" s="43">
        <v>2200000</v>
      </c>
      <c r="AY244" s="37">
        <v>0</v>
      </c>
      <c r="AZ244" s="37">
        <v>0</v>
      </c>
      <c r="BA244" s="37">
        <v>0</v>
      </c>
      <c r="BB244" s="37">
        <v>0</v>
      </c>
      <c r="BC244" s="37">
        <v>0</v>
      </c>
      <c r="BD244" s="43">
        <v>20500000</v>
      </c>
      <c r="BE244" s="43">
        <v>4000000</v>
      </c>
      <c r="BF244" s="37">
        <v>0</v>
      </c>
      <c r="BG244" s="37">
        <v>0</v>
      </c>
      <c r="BH244" s="43">
        <v>158415000</v>
      </c>
      <c r="BI244" s="43">
        <v>610000</v>
      </c>
      <c r="BJ244" s="37">
        <v>0</v>
      </c>
      <c r="BK244" s="43">
        <v>20000000</v>
      </c>
      <c r="BL244" s="37">
        <v>0</v>
      </c>
      <c r="BM244" s="43">
        <v>100000000</v>
      </c>
      <c r="BN244" s="43">
        <v>100000000</v>
      </c>
      <c r="BO244" s="43">
        <v>17000000</v>
      </c>
      <c r="BP244" s="43">
        <v>10600000</v>
      </c>
      <c r="BQ244" s="37">
        <v>0</v>
      </c>
      <c r="BR244" s="37">
        <v>0</v>
      </c>
      <c r="BS244" s="37">
        <v>0</v>
      </c>
      <c r="BT244" s="37">
        <v>0</v>
      </c>
      <c r="BU244" s="37">
        <v>0</v>
      </c>
      <c r="BV244" s="37">
        <v>0</v>
      </c>
      <c r="BW244" s="43">
        <v>12681315</v>
      </c>
      <c r="BX244" s="37">
        <v>0</v>
      </c>
      <c r="BY244" s="37">
        <v>0</v>
      </c>
      <c r="BZ244" s="37">
        <v>0</v>
      </c>
      <c r="CA244" s="44">
        <f t="shared" si="21"/>
        <v>659691978</v>
      </c>
    </row>
    <row r="245" spans="1:79" x14ac:dyDescent="0.25">
      <c r="A245" s="37" t="s">
        <v>530</v>
      </c>
      <c r="B245" s="37" t="s">
        <v>531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44">
        <v>0</v>
      </c>
      <c r="AN245" s="37">
        <v>0</v>
      </c>
      <c r="AO245" s="37">
        <v>0</v>
      </c>
      <c r="AP245" s="37">
        <v>0</v>
      </c>
      <c r="AQ245" s="37">
        <v>0</v>
      </c>
      <c r="AR245" s="37">
        <v>0</v>
      </c>
      <c r="AS245" s="37">
        <v>0</v>
      </c>
      <c r="AT245" s="37">
        <v>0</v>
      </c>
      <c r="AU245" s="37">
        <v>0</v>
      </c>
      <c r="AV245" s="37">
        <v>0</v>
      </c>
      <c r="AW245" s="37">
        <v>0</v>
      </c>
      <c r="AX245" s="37">
        <v>0</v>
      </c>
      <c r="AY245" s="37">
        <v>0</v>
      </c>
      <c r="AZ245" s="37">
        <v>0</v>
      </c>
      <c r="BA245" s="37">
        <v>0</v>
      </c>
      <c r="BB245" s="37">
        <v>0</v>
      </c>
      <c r="BC245" s="37">
        <v>0</v>
      </c>
      <c r="BD245" s="37">
        <v>0</v>
      </c>
      <c r="BE245" s="37">
        <v>0</v>
      </c>
      <c r="BF245" s="37">
        <v>0</v>
      </c>
      <c r="BG245" s="37">
        <v>0</v>
      </c>
      <c r="BH245" s="37">
        <v>0</v>
      </c>
      <c r="BI245" s="37">
        <v>0</v>
      </c>
      <c r="BJ245" s="37">
        <v>0</v>
      </c>
      <c r="BK245" s="37">
        <v>0</v>
      </c>
      <c r="BL245" s="37">
        <v>0</v>
      </c>
      <c r="BM245" s="43">
        <v>89208</v>
      </c>
      <c r="BN245" s="37">
        <v>0</v>
      </c>
      <c r="BO245" s="37">
        <v>0</v>
      </c>
      <c r="BP245" s="37">
        <v>0</v>
      </c>
      <c r="BQ245" s="37">
        <v>0</v>
      </c>
      <c r="BR245" s="37">
        <v>0</v>
      </c>
      <c r="BS245" s="37">
        <v>0</v>
      </c>
      <c r="BT245" s="37">
        <v>0</v>
      </c>
      <c r="BU245" s="37">
        <v>0</v>
      </c>
      <c r="BV245" s="37">
        <v>0</v>
      </c>
      <c r="BW245" s="37">
        <v>0</v>
      </c>
      <c r="BX245" s="37">
        <v>0</v>
      </c>
      <c r="BY245" s="37">
        <v>0</v>
      </c>
      <c r="BZ245" s="37">
        <v>0</v>
      </c>
      <c r="CA245" s="44">
        <f t="shared" si="21"/>
        <v>89208</v>
      </c>
    </row>
    <row r="246" spans="1:79" x14ac:dyDescent="0.25">
      <c r="A246" s="37" t="s">
        <v>532</v>
      </c>
      <c r="B246" s="37" t="s">
        <v>533</v>
      </c>
      <c r="C246" s="37">
        <v>0</v>
      </c>
      <c r="D246" s="37">
        <v>0</v>
      </c>
      <c r="E246" s="37">
        <v>0</v>
      </c>
      <c r="F246" s="43">
        <v>4405000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>
        <v>0</v>
      </c>
      <c r="AM246" s="44">
        <v>0</v>
      </c>
      <c r="AN246" s="37">
        <v>0</v>
      </c>
      <c r="AO246" s="37">
        <v>0</v>
      </c>
      <c r="AP246" s="37">
        <v>0</v>
      </c>
      <c r="AQ246" s="37">
        <v>0</v>
      </c>
      <c r="AR246" s="37">
        <v>0</v>
      </c>
      <c r="AS246" s="37">
        <v>0</v>
      </c>
      <c r="AT246" s="37">
        <v>0</v>
      </c>
      <c r="AU246" s="37">
        <v>0</v>
      </c>
      <c r="AV246" s="37">
        <v>0</v>
      </c>
      <c r="AW246" s="37">
        <v>0</v>
      </c>
      <c r="AX246" s="37">
        <v>0</v>
      </c>
      <c r="AY246" s="37">
        <v>0</v>
      </c>
      <c r="AZ246" s="37">
        <v>0</v>
      </c>
      <c r="BA246" s="37">
        <v>0</v>
      </c>
      <c r="BB246" s="37">
        <v>0</v>
      </c>
      <c r="BC246" s="37">
        <v>0</v>
      </c>
      <c r="BD246" s="37">
        <v>0</v>
      </c>
      <c r="BE246" s="37">
        <v>0</v>
      </c>
      <c r="BF246" s="37">
        <v>0</v>
      </c>
      <c r="BG246" s="37">
        <v>0</v>
      </c>
      <c r="BH246" s="37">
        <v>0</v>
      </c>
      <c r="BI246" s="37">
        <v>0</v>
      </c>
      <c r="BJ246" s="37">
        <v>0</v>
      </c>
      <c r="BK246" s="37">
        <v>0</v>
      </c>
      <c r="BL246" s="37">
        <v>0</v>
      </c>
      <c r="BM246" s="37">
        <v>0</v>
      </c>
      <c r="BN246" s="37">
        <v>0</v>
      </c>
      <c r="BO246" s="37">
        <v>0</v>
      </c>
      <c r="BP246" s="37">
        <v>0</v>
      </c>
      <c r="BQ246" s="37">
        <v>0</v>
      </c>
      <c r="BR246" s="37">
        <v>0</v>
      </c>
      <c r="BS246" s="37">
        <v>0</v>
      </c>
      <c r="BT246" s="37">
        <v>0</v>
      </c>
      <c r="BU246" s="37">
        <v>0</v>
      </c>
      <c r="BV246" s="37">
        <v>0</v>
      </c>
      <c r="BW246" s="43">
        <v>24765000</v>
      </c>
      <c r="BX246" s="37">
        <v>0</v>
      </c>
      <c r="BY246" s="37">
        <v>0</v>
      </c>
      <c r="BZ246" s="37">
        <v>0</v>
      </c>
      <c r="CA246" s="44">
        <f t="shared" si="21"/>
        <v>29170000</v>
      </c>
    </row>
    <row r="247" spans="1:79" x14ac:dyDescent="0.25">
      <c r="A247" s="37" t="s">
        <v>534</v>
      </c>
      <c r="B247" s="37" t="s">
        <v>535</v>
      </c>
      <c r="AM247" s="44"/>
      <c r="CA247" s="44">
        <f t="shared" si="21"/>
        <v>0</v>
      </c>
    </row>
    <row r="248" spans="1:79" x14ac:dyDescent="0.25">
      <c r="A248" s="37" t="s">
        <v>536</v>
      </c>
      <c r="B248" s="37" t="s">
        <v>537</v>
      </c>
      <c r="C248" s="43">
        <v>30978</v>
      </c>
      <c r="D248" s="43">
        <v>34872</v>
      </c>
      <c r="E248" s="43">
        <v>300000</v>
      </c>
      <c r="F248" s="37">
        <v>0</v>
      </c>
      <c r="G248" s="43">
        <v>2104625</v>
      </c>
      <c r="H248" s="43">
        <v>176428</v>
      </c>
      <c r="I248" s="43">
        <v>3105407</v>
      </c>
      <c r="J248" s="43">
        <v>11813791</v>
      </c>
      <c r="K248" s="37">
        <v>0</v>
      </c>
      <c r="L248" s="37">
        <v>0</v>
      </c>
      <c r="M248" s="43">
        <v>223866</v>
      </c>
      <c r="N248" s="43">
        <v>110000</v>
      </c>
      <c r="O248" s="43">
        <v>100403</v>
      </c>
      <c r="P248" s="43">
        <v>297798</v>
      </c>
      <c r="Q248" s="43">
        <v>5677500</v>
      </c>
      <c r="R248" s="43">
        <v>566157</v>
      </c>
      <c r="S248" s="43">
        <v>4212768</v>
      </c>
      <c r="T248" s="37">
        <v>0</v>
      </c>
      <c r="U248" s="37">
        <v>0</v>
      </c>
      <c r="V248" s="37">
        <v>0</v>
      </c>
      <c r="W248" s="43">
        <v>11960450</v>
      </c>
      <c r="X248" s="43">
        <v>11313</v>
      </c>
      <c r="Y248" s="43">
        <v>580498</v>
      </c>
      <c r="Z248" s="43">
        <v>2091439</v>
      </c>
      <c r="AA248" s="43">
        <v>60650</v>
      </c>
      <c r="AB248" s="43">
        <v>932416</v>
      </c>
      <c r="AC248" s="43">
        <v>1174282</v>
      </c>
      <c r="AD248" s="43">
        <v>9383777</v>
      </c>
      <c r="AE248" s="43">
        <v>22650</v>
      </c>
      <c r="AF248" s="43">
        <v>54400</v>
      </c>
      <c r="AG248" s="43">
        <v>5510</v>
      </c>
      <c r="AH248" s="43">
        <v>25761</v>
      </c>
      <c r="AI248" s="43">
        <v>87641713</v>
      </c>
      <c r="AJ248" s="43">
        <v>2500000</v>
      </c>
      <c r="AK248" s="43">
        <v>250000</v>
      </c>
      <c r="AL248" s="43">
        <v>396681</v>
      </c>
      <c r="AM248" s="44">
        <v>6292414</v>
      </c>
      <c r="AN248" s="43">
        <v>13915044</v>
      </c>
      <c r="AO248" s="37">
        <v>0</v>
      </c>
      <c r="AP248" s="43">
        <v>7375120</v>
      </c>
      <c r="AQ248" s="43">
        <v>656814</v>
      </c>
      <c r="AR248" s="37">
        <v>0</v>
      </c>
      <c r="AS248" s="43">
        <v>312650</v>
      </c>
      <c r="AT248" s="37">
        <v>0</v>
      </c>
      <c r="AU248" s="43">
        <v>1797595</v>
      </c>
      <c r="AV248" s="43">
        <v>4601872</v>
      </c>
      <c r="AW248" s="43">
        <v>4897912</v>
      </c>
      <c r="AX248" s="43">
        <v>112130</v>
      </c>
      <c r="AY248" s="37">
        <v>0</v>
      </c>
      <c r="AZ248" s="43">
        <v>50707</v>
      </c>
      <c r="BA248" s="43">
        <v>10392</v>
      </c>
      <c r="BB248" s="43">
        <v>308153</v>
      </c>
      <c r="BC248" s="37">
        <v>0</v>
      </c>
      <c r="BD248" s="43">
        <v>4918408</v>
      </c>
      <c r="BE248" s="43">
        <v>13347120</v>
      </c>
      <c r="BF248" s="43">
        <v>43594</v>
      </c>
      <c r="BG248" s="43">
        <v>37837786</v>
      </c>
      <c r="BH248" s="43">
        <v>2324129</v>
      </c>
      <c r="BI248" s="43">
        <v>140234</v>
      </c>
      <c r="BJ248" s="43">
        <v>300000</v>
      </c>
      <c r="BK248" s="43">
        <v>19293267</v>
      </c>
      <c r="BL248" s="43">
        <v>2898940</v>
      </c>
      <c r="BM248" s="43">
        <v>6000000</v>
      </c>
      <c r="BN248" s="43">
        <v>25040596</v>
      </c>
      <c r="BO248" s="43">
        <v>6184739</v>
      </c>
      <c r="BP248" s="43">
        <v>6588505</v>
      </c>
      <c r="BQ248" s="43">
        <v>2471950</v>
      </c>
      <c r="BR248" s="43">
        <v>3992780</v>
      </c>
      <c r="BS248" s="43">
        <v>32622</v>
      </c>
      <c r="BT248" s="43">
        <v>1632894</v>
      </c>
      <c r="BU248" s="43">
        <v>4095600</v>
      </c>
      <c r="BV248" s="43">
        <v>7639186</v>
      </c>
      <c r="BW248" s="43">
        <v>6843012</v>
      </c>
      <c r="BX248" s="43">
        <v>5870907</v>
      </c>
      <c r="BY248" s="43">
        <v>1320289</v>
      </c>
      <c r="BZ248" s="37">
        <v>0</v>
      </c>
      <c r="CA248" s="44">
        <f t="shared" si="21"/>
        <v>344993494</v>
      </c>
    </row>
    <row r="249" spans="1:79" x14ac:dyDescent="0.25">
      <c r="A249" s="37" t="s">
        <v>538</v>
      </c>
      <c r="B249" s="37" t="s">
        <v>539</v>
      </c>
      <c r="C249" s="43">
        <v>135347</v>
      </c>
      <c r="D249" s="37">
        <v>0</v>
      </c>
      <c r="E249" s="37">
        <v>0</v>
      </c>
      <c r="F249" s="37">
        <v>0</v>
      </c>
      <c r="G249" s="37">
        <v>0</v>
      </c>
      <c r="H249" s="37">
        <v>90</v>
      </c>
      <c r="I249" s="37">
        <v>0</v>
      </c>
      <c r="J249" s="43">
        <v>36658</v>
      </c>
      <c r="K249" s="43">
        <v>39073</v>
      </c>
      <c r="L249" s="37">
        <v>0</v>
      </c>
      <c r="M249" s="37">
        <v>0</v>
      </c>
      <c r="N249" s="37">
        <v>0</v>
      </c>
      <c r="O249" s="43">
        <v>78062</v>
      </c>
      <c r="P249" s="37">
        <v>0</v>
      </c>
      <c r="Q249" s="37">
        <v>0</v>
      </c>
      <c r="R249" s="43">
        <v>364086</v>
      </c>
      <c r="S249" s="37">
        <v>0</v>
      </c>
      <c r="T249" s="37">
        <v>0</v>
      </c>
      <c r="U249" s="37">
        <v>0</v>
      </c>
      <c r="V249" s="37">
        <v>0</v>
      </c>
      <c r="W249" s="37">
        <v>0</v>
      </c>
      <c r="X249" s="37">
        <v>0</v>
      </c>
      <c r="Y249" s="43">
        <v>59393</v>
      </c>
      <c r="Z249" s="43">
        <v>1241195</v>
      </c>
      <c r="AA249" s="43">
        <v>1686</v>
      </c>
      <c r="AB249" s="37">
        <v>0</v>
      </c>
      <c r="AC249" s="37">
        <v>0</v>
      </c>
      <c r="AD249" s="43">
        <v>93219</v>
      </c>
      <c r="AE249" s="37">
        <v>0</v>
      </c>
      <c r="AF249" s="37">
        <v>0</v>
      </c>
      <c r="AG249" s="37">
        <v>0</v>
      </c>
      <c r="AH249" s="37">
        <v>0</v>
      </c>
      <c r="AI249" s="43">
        <v>105683</v>
      </c>
      <c r="AJ249" s="37">
        <v>0</v>
      </c>
      <c r="AK249" s="37">
        <v>0</v>
      </c>
      <c r="AL249" s="43">
        <v>6431</v>
      </c>
      <c r="AM249" s="44">
        <v>629620</v>
      </c>
      <c r="AN249" s="43">
        <v>190707</v>
      </c>
      <c r="AO249" s="37">
        <v>0</v>
      </c>
      <c r="AP249" s="43">
        <v>27464</v>
      </c>
      <c r="AQ249" s="43">
        <v>1877448</v>
      </c>
      <c r="AR249" s="37">
        <v>0</v>
      </c>
      <c r="AS249" s="37">
        <v>0</v>
      </c>
      <c r="AT249" s="37">
        <v>0</v>
      </c>
      <c r="AU249" s="37">
        <v>0</v>
      </c>
      <c r="AV249" s="37">
        <v>0</v>
      </c>
      <c r="AW249" s="37">
        <v>0</v>
      </c>
      <c r="AX249" s="43">
        <v>24810</v>
      </c>
      <c r="AY249" s="37">
        <v>0</v>
      </c>
      <c r="AZ249" s="43">
        <v>42451</v>
      </c>
      <c r="BA249" s="43">
        <v>45217</v>
      </c>
      <c r="BB249" s="37">
        <v>0</v>
      </c>
      <c r="BC249" s="37">
        <v>0</v>
      </c>
      <c r="BD249" s="43">
        <v>824522</v>
      </c>
      <c r="BE249" s="37">
        <v>0</v>
      </c>
      <c r="BF249" s="37">
        <v>0</v>
      </c>
      <c r="BG249" s="43">
        <v>1780783</v>
      </c>
      <c r="BH249" s="43">
        <v>88800</v>
      </c>
      <c r="BI249" s="37">
        <v>0</v>
      </c>
      <c r="BJ249" s="37">
        <v>0</v>
      </c>
      <c r="BK249" s="37">
        <v>0</v>
      </c>
      <c r="BL249" s="37">
        <v>0</v>
      </c>
      <c r="BM249" s="37">
        <v>0</v>
      </c>
      <c r="BN249" s="43">
        <v>279055</v>
      </c>
      <c r="BO249" s="43">
        <v>24880</v>
      </c>
      <c r="BP249" s="43">
        <v>4224</v>
      </c>
      <c r="BQ249" s="43">
        <v>28556</v>
      </c>
      <c r="BR249" s="43">
        <v>2267</v>
      </c>
      <c r="BS249" s="37">
        <v>0</v>
      </c>
      <c r="BT249" s="37">
        <v>0</v>
      </c>
      <c r="BU249" s="37">
        <v>0</v>
      </c>
      <c r="BV249" s="37">
        <v>0</v>
      </c>
      <c r="BW249" s="37">
        <v>0</v>
      </c>
      <c r="BX249" s="43">
        <v>1142796</v>
      </c>
      <c r="BY249" s="43">
        <v>153189</v>
      </c>
      <c r="BZ249" s="37">
        <v>0</v>
      </c>
      <c r="CA249" s="44">
        <f t="shared" si="21"/>
        <v>9327712</v>
      </c>
    </row>
    <row r="250" spans="1:79" x14ac:dyDescent="0.25">
      <c r="A250" s="37" t="s">
        <v>540</v>
      </c>
      <c r="B250" s="37" t="s">
        <v>541</v>
      </c>
      <c r="C250" s="43">
        <v>2109715</v>
      </c>
      <c r="D250" s="43">
        <v>18241185</v>
      </c>
      <c r="E250" s="43">
        <v>688561</v>
      </c>
      <c r="F250" s="43">
        <v>7817757</v>
      </c>
      <c r="G250" s="43">
        <v>2823489</v>
      </c>
      <c r="H250" s="43">
        <v>2046819</v>
      </c>
      <c r="I250" s="43">
        <v>1980176</v>
      </c>
      <c r="J250" s="43">
        <v>9227760</v>
      </c>
      <c r="K250" s="43">
        <v>1427501</v>
      </c>
      <c r="L250" s="43">
        <v>1586463</v>
      </c>
      <c r="M250" s="43">
        <v>958433</v>
      </c>
      <c r="N250" s="37">
        <v>0</v>
      </c>
      <c r="O250" s="43">
        <v>27542832</v>
      </c>
      <c r="P250" s="43">
        <v>857324</v>
      </c>
      <c r="Q250" s="43">
        <v>12278191</v>
      </c>
      <c r="R250" s="43">
        <v>5699943</v>
      </c>
      <c r="S250" s="43">
        <v>3355333</v>
      </c>
      <c r="T250" s="43">
        <v>5288029</v>
      </c>
      <c r="U250" s="37">
        <v>0</v>
      </c>
      <c r="V250" s="43">
        <v>3465015</v>
      </c>
      <c r="W250" s="43">
        <v>6776856</v>
      </c>
      <c r="X250" s="43">
        <v>1164114</v>
      </c>
      <c r="Y250" s="37">
        <v>0</v>
      </c>
      <c r="Z250" s="43">
        <v>18798483</v>
      </c>
      <c r="AA250" s="43">
        <v>1318025</v>
      </c>
      <c r="AB250" s="43">
        <v>2186615</v>
      </c>
      <c r="AC250" s="43">
        <v>1113922</v>
      </c>
      <c r="AD250" s="43">
        <v>6345239</v>
      </c>
      <c r="AE250" s="37">
        <v>0</v>
      </c>
      <c r="AF250" s="43">
        <v>2514200</v>
      </c>
      <c r="AG250" s="43">
        <v>1097208</v>
      </c>
      <c r="AH250" s="43">
        <v>3163956</v>
      </c>
      <c r="AI250" s="43">
        <v>54198991</v>
      </c>
      <c r="AJ250" s="43">
        <v>6220454</v>
      </c>
      <c r="AK250" s="43">
        <v>727026</v>
      </c>
      <c r="AL250" s="43">
        <v>824984</v>
      </c>
      <c r="AM250" s="44">
        <v>1747328</v>
      </c>
      <c r="AN250" s="43">
        <v>26624793</v>
      </c>
      <c r="AO250" s="37">
        <v>0</v>
      </c>
      <c r="AP250" s="43">
        <v>8215990</v>
      </c>
      <c r="AQ250" s="43">
        <v>11107716</v>
      </c>
      <c r="AR250" s="43">
        <v>4065598</v>
      </c>
      <c r="AS250" s="43">
        <v>2161092</v>
      </c>
      <c r="AT250" s="43">
        <v>1123517</v>
      </c>
      <c r="AU250" s="43">
        <v>20839737</v>
      </c>
      <c r="AV250" s="43">
        <v>6073686</v>
      </c>
      <c r="AW250" s="43">
        <v>1494354</v>
      </c>
      <c r="AX250" s="43">
        <v>3135500</v>
      </c>
      <c r="AY250" s="43">
        <v>11930381</v>
      </c>
      <c r="AZ250" s="43">
        <v>310875</v>
      </c>
      <c r="BA250" s="37">
        <v>0</v>
      </c>
      <c r="BB250" s="43">
        <v>2701314</v>
      </c>
      <c r="BC250" s="43">
        <v>4050216</v>
      </c>
      <c r="BD250" s="43">
        <v>5737962</v>
      </c>
      <c r="BE250" s="43">
        <v>7919526</v>
      </c>
      <c r="BF250" s="43">
        <v>10652577</v>
      </c>
      <c r="BG250" s="43">
        <v>14120817</v>
      </c>
      <c r="BH250" s="43">
        <v>21627001</v>
      </c>
      <c r="BI250" s="43">
        <v>1999070</v>
      </c>
      <c r="BJ250" s="43">
        <v>3910523</v>
      </c>
      <c r="BK250" s="43">
        <v>8877570</v>
      </c>
      <c r="BL250" s="43">
        <v>2064216</v>
      </c>
      <c r="BM250" s="43">
        <v>2088584</v>
      </c>
      <c r="BN250" s="43">
        <v>6708287</v>
      </c>
      <c r="BO250" s="43">
        <v>6691774</v>
      </c>
      <c r="BP250" s="43">
        <v>5053182</v>
      </c>
      <c r="BQ250" s="43">
        <v>11653059</v>
      </c>
      <c r="BR250" s="43">
        <v>3111641</v>
      </c>
      <c r="BS250" s="43">
        <v>2195857</v>
      </c>
      <c r="BT250" s="43">
        <v>3101805</v>
      </c>
      <c r="BU250" s="43">
        <v>5139320</v>
      </c>
      <c r="BV250" s="43">
        <v>11828008</v>
      </c>
      <c r="BW250" s="43">
        <v>12454181</v>
      </c>
      <c r="BX250" s="43">
        <v>14053011</v>
      </c>
      <c r="BY250" s="43">
        <v>17065863</v>
      </c>
      <c r="BZ250" s="43">
        <v>2178219</v>
      </c>
      <c r="CA250" s="44">
        <f t="shared" si="21"/>
        <v>499658749</v>
      </c>
    </row>
    <row r="251" spans="1:79" x14ac:dyDescent="0.25">
      <c r="A251" s="37" t="s">
        <v>542</v>
      </c>
      <c r="B251" s="37" t="s">
        <v>543</v>
      </c>
      <c r="C251" s="43">
        <v>2066253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43">
        <v>1482135</v>
      </c>
      <c r="L251" s="37">
        <v>0</v>
      </c>
      <c r="M251" s="37">
        <v>0</v>
      </c>
      <c r="N251" s="43">
        <v>2710352</v>
      </c>
      <c r="O251" s="43">
        <v>79906634</v>
      </c>
      <c r="P251" s="43">
        <v>2516000</v>
      </c>
      <c r="Q251" s="43">
        <v>93497261</v>
      </c>
      <c r="R251" s="43">
        <v>6994743</v>
      </c>
      <c r="S251" s="43">
        <v>10956685</v>
      </c>
      <c r="T251" s="43">
        <v>3484000</v>
      </c>
      <c r="U251" s="37">
        <v>0</v>
      </c>
      <c r="V251" s="43">
        <v>11880896</v>
      </c>
      <c r="W251" s="43">
        <v>9500000</v>
      </c>
      <c r="X251" s="37">
        <v>0</v>
      </c>
      <c r="Y251" s="37">
        <v>0</v>
      </c>
      <c r="Z251" s="43">
        <v>28141823</v>
      </c>
      <c r="AA251" s="37">
        <v>0</v>
      </c>
      <c r="AB251" s="37">
        <v>0</v>
      </c>
      <c r="AC251" s="43">
        <v>2187561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43">
        <v>163147903</v>
      </c>
      <c r="AJ251" s="43">
        <v>9360000</v>
      </c>
      <c r="AK251" s="37">
        <v>0</v>
      </c>
      <c r="AL251" s="37">
        <v>0</v>
      </c>
      <c r="AM251" s="44">
        <v>862003</v>
      </c>
      <c r="AN251" s="43">
        <v>72500000</v>
      </c>
      <c r="AO251" s="37">
        <v>0</v>
      </c>
      <c r="AP251" s="43">
        <v>13022714</v>
      </c>
      <c r="AQ251" s="43">
        <v>27832225</v>
      </c>
      <c r="AR251" s="43">
        <v>6598413</v>
      </c>
      <c r="AS251" s="43">
        <v>2319950</v>
      </c>
      <c r="AT251" s="43">
        <v>779928</v>
      </c>
      <c r="AU251" s="43">
        <v>24201702</v>
      </c>
      <c r="AV251" s="43">
        <v>10641400</v>
      </c>
      <c r="AW251" s="37">
        <v>0</v>
      </c>
      <c r="AX251" s="37">
        <v>0</v>
      </c>
      <c r="AY251" s="37">
        <v>0</v>
      </c>
      <c r="AZ251" s="43">
        <v>1331380</v>
      </c>
      <c r="BA251" s="43">
        <v>773136</v>
      </c>
      <c r="BB251" s="43">
        <v>1078857</v>
      </c>
      <c r="BC251" s="43">
        <v>11528970</v>
      </c>
      <c r="BD251" s="37">
        <v>0</v>
      </c>
      <c r="BE251" s="37">
        <v>0</v>
      </c>
      <c r="BF251" s="43">
        <v>34454743</v>
      </c>
      <c r="BG251" s="43">
        <v>18497856</v>
      </c>
      <c r="BH251" s="37">
        <v>0</v>
      </c>
      <c r="BI251" s="37">
        <v>0</v>
      </c>
      <c r="BJ251" s="43">
        <v>6247950</v>
      </c>
      <c r="BK251" s="43">
        <v>21032434</v>
      </c>
      <c r="BL251" s="43">
        <v>3190107</v>
      </c>
      <c r="BM251" s="37">
        <v>0</v>
      </c>
      <c r="BN251" s="37">
        <v>0</v>
      </c>
      <c r="BO251" s="37">
        <v>0</v>
      </c>
      <c r="BP251" s="43">
        <v>3241804</v>
      </c>
      <c r="BQ251" s="43">
        <v>12682055</v>
      </c>
      <c r="BR251" s="43">
        <v>1028406</v>
      </c>
      <c r="BS251" s="43">
        <v>4380936</v>
      </c>
      <c r="BT251" s="43">
        <v>3407662</v>
      </c>
      <c r="BU251" s="37">
        <v>0</v>
      </c>
      <c r="BV251" s="43">
        <v>15799485</v>
      </c>
      <c r="BW251" s="37">
        <v>0</v>
      </c>
      <c r="BX251" s="37">
        <v>0</v>
      </c>
      <c r="BY251" s="37">
        <v>0</v>
      </c>
      <c r="BZ251" s="37">
        <v>0</v>
      </c>
      <c r="CA251" s="44">
        <f t="shared" si="21"/>
        <v>725266362</v>
      </c>
    </row>
    <row r="252" spans="1:79" x14ac:dyDescent="0.25">
      <c r="A252" s="37" t="s">
        <v>544</v>
      </c>
      <c r="B252" s="37" t="s">
        <v>545</v>
      </c>
      <c r="C252" s="43">
        <v>1207683</v>
      </c>
      <c r="D252" s="37">
        <v>0</v>
      </c>
      <c r="E252" s="37">
        <v>0</v>
      </c>
      <c r="F252" s="37">
        <v>0</v>
      </c>
      <c r="G252" s="37">
        <v>0</v>
      </c>
      <c r="H252" s="43">
        <v>600000</v>
      </c>
      <c r="I252" s="43">
        <v>3562869</v>
      </c>
      <c r="J252" s="43">
        <v>4500000</v>
      </c>
      <c r="K252" s="37">
        <v>0</v>
      </c>
      <c r="L252" s="37">
        <v>0</v>
      </c>
      <c r="M252" s="37">
        <v>0</v>
      </c>
      <c r="N252" s="37">
        <v>0</v>
      </c>
      <c r="O252" s="37">
        <v>0</v>
      </c>
      <c r="P252" s="43">
        <v>1882927</v>
      </c>
      <c r="Q252" s="37">
        <v>0</v>
      </c>
      <c r="R252" s="37">
        <v>0</v>
      </c>
      <c r="S252" s="37">
        <v>0</v>
      </c>
      <c r="T252" s="43">
        <v>482388</v>
      </c>
      <c r="U252" s="37">
        <v>0</v>
      </c>
      <c r="V252" s="43">
        <v>7454577</v>
      </c>
      <c r="W252" s="43">
        <v>1348287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43">
        <v>1545730</v>
      </c>
      <c r="AE252" s="37">
        <v>0</v>
      </c>
      <c r="AF252" s="37">
        <v>0</v>
      </c>
      <c r="AG252" s="37">
        <v>0</v>
      </c>
      <c r="AH252" s="43">
        <v>57837</v>
      </c>
      <c r="AI252" s="37">
        <v>0</v>
      </c>
      <c r="AJ252" s="37">
        <v>0</v>
      </c>
      <c r="AK252" s="37">
        <v>0</v>
      </c>
      <c r="AL252" s="37">
        <v>0</v>
      </c>
      <c r="AM252" s="44">
        <v>171</v>
      </c>
      <c r="AN252" s="37">
        <v>0</v>
      </c>
      <c r="AO252" s="37">
        <v>0</v>
      </c>
      <c r="AP252" s="37">
        <v>0</v>
      </c>
      <c r="AQ252" s="43">
        <v>18675</v>
      </c>
      <c r="AR252" s="37">
        <v>0</v>
      </c>
      <c r="AS252" s="37">
        <v>0</v>
      </c>
      <c r="AT252" s="37">
        <v>0</v>
      </c>
      <c r="AU252" s="37">
        <v>0</v>
      </c>
      <c r="AV252" s="37">
        <v>0</v>
      </c>
      <c r="AW252" s="37">
        <v>0</v>
      </c>
      <c r="AX252" s="37">
        <v>0</v>
      </c>
      <c r="AY252" s="37">
        <v>0</v>
      </c>
      <c r="AZ252" s="37">
        <v>0</v>
      </c>
      <c r="BA252" s="37">
        <v>0</v>
      </c>
      <c r="BB252" s="37">
        <v>0</v>
      </c>
      <c r="BC252" s="37">
        <v>0</v>
      </c>
      <c r="BD252" s="37">
        <v>0</v>
      </c>
      <c r="BE252" s="37">
        <v>0</v>
      </c>
      <c r="BF252" s="37">
        <v>0</v>
      </c>
      <c r="BG252" s="43">
        <v>353147</v>
      </c>
      <c r="BH252" s="37">
        <v>0</v>
      </c>
      <c r="BI252" s="37">
        <v>0</v>
      </c>
      <c r="BJ252" s="43">
        <v>1581932</v>
      </c>
      <c r="BK252" s="37">
        <v>0</v>
      </c>
      <c r="BL252" s="37">
        <v>0</v>
      </c>
      <c r="BM252" s="43">
        <v>1571001</v>
      </c>
      <c r="BN252" s="37">
        <v>0</v>
      </c>
      <c r="BO252" s="43">
        <v>10890322</v>
      </c>
      <c r="BP252" s="37">
        <v>0</v>
      </c>
      <c r="BQ252" s="37">
        <v>0</v>
      </c>
      <c r="BR252" s="37">
        <v>0</v>
      </c>
      <c r="BS252" s="43">
        <v>195000</v>
      </c>
      <c r="BT252" s="37">
        <v>0</v>
      </c>
      <c r="BU252" s="37">
        <v>0</v>
      </c>
      <c r="BV252" s="37">
        <v>0</v>
      </c>
      <c r="BW252" s="43">
        <v>9500000</v>
      </c>
      <c r="BX252" s="37">
        <v>0</v>
      </c>
      <c r="BY252" s="37">
        <v>0</v>
      </c>
      <c r="BZ252" s="37">
        <v>0</v>
      </c>
      <c r="CA252" s="44">
        <f t="shared" si="21"/>
        <v>46752546</v>
      </c>
    </row>
    <row r="253" spans="1:79" x14ac:dyDescent="0.25">
      <c r="A253" s="37" t="s">
        <v>546</v>
      </c>
      <c r="B253" s="37" t="s">
        <v>547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43">
        <v>138038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43">
        <v>149305</v>
      </c>
      <c r="AM253" s="44">
        <v>0</v>
      </c>
      <c r="AN253" s="37">
        <v>0</v>
      </c>
      <c r="AO253" s="37">
        <v>0</v>
      </c>
      <c r="AP253" s="37">
        <v>0</v>
      </c>
      <c r="AQ253" s="43">
        <v>487475</v>
      </c>
      <c r="AR253" s="37">
        <v>0</v>
      </c>
      <c r="AS253" s="43">
        <v>264461</v>
      </c>
      <c r="AT253" s="37">
        <v>0</v>
      </c>
      <c r="AU253" s="37">
        <v>0</v>
      </c>
      <c r="AV253" s="37">
        <v>0</v>
      </c>
      <c r="AW253" s="43">
        <v>1996</v>
      </c>
      <c r="AX253" s="37">
        <v>0</v>
      </c>
      <c r="AY253" s="37">
        <v>0</v>
      </c>
      <c r="AZ253" s="37">
        <v>0</v>
      </c>
      <c r="BA253" s="37">
        <v>0</v>
      </c>
      <c r="BB253" s="37">
        <v>0</v>
      </c>
      <c r="BC253" s="37">
        <v>0</v>
      </c>
      <c r="BD253" s="37">
        <v>0</v>
      </c>
      <c r="BE253" s="37">
        <v>0</v>
      </c>
      <c r="BF253" s="37">
        <v>0</v>
      </c>
      <c r="BG253" s="37">
        <v>0</v>
      </c>
      <c r="BH253" s="37">
        <v>0</v>
      </c>
      <c r="BI253" s="37">
        <v>0</v>
      </c>
      <c r="BJ253" s="37">
        <v>0</v>
      </c>
      <c r="BK253" s="37">
        <v>0</v>
      </c>
      <c r="BL253" s="37">
        <v>0</v>
      </c>
      <c r="BM253" s="37">
        <v>0</v>
      </c>
      <c r="BN253" s="37">
        <v>0</v>
      </c>
      <c r="BO253" s="37">
        <v>0</v>
      </c>
      <c r="BP253" s="37">
        <v>0</v>
      </c>
      <c r="BQ253" s="37">
        <v>0</v>
      </c>
      <c r="BR253" s="37">
        <v>0</v>
      </c>
      <c r="BS253" s="43">
        <v>167851</v>
      </c>
      <c r="BT253" s="37">
        <v>0</v>
      </c>
      <c r="BU253" s="37">
        <v>0</v>
      </c>
      <c r="BV253" s="37">
        <v>0</v>
      </c>
      <c r="BW253" s="37">
        <v>0</v>
      </c>
      <c r="BX253" s="43">
        <v>114692</v>
      </c>
      <c r="BY253" s="37">
        <v>0</v>
      </c>
      <c r="BZ253" s="37">
        <v>0</v>
      </c>
      <c r="CA253" s="44">
        <f t="shared" si="21"/>
        <v>1323818</v>
      </c>
    </row>
    <row r="254" spans="1:79" x14ac:dyDescent="0.25">
      <c r="A254" s="37" t="s">
        <v>548</v>
      </c>
      <c r="B254" s="37" t="s">
        <v>549</v>
      </c>
      <c r="C254" s="43">
        <v>135347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44">
        <v>0</v>
      </c>
      <c r="AN254" s="37">
        <v>0</v>
      </c>
      <c r="AO254" s="37">
        <v>0</v>
      </c>
      <c r="AP254" s="37">
        <v>0</v>
      </c>
      <c r="AQ254" s="37">
        <v>0</v>
      </c>
      <c r="AR254" s="37">
        <v>0</v>
      </c>
      <c r="AS254" s="37">
        <v>0</v>
      </c>
      <c r="AT254" s="37">
        <v>0</v>
      </c>
      <c r="AU254" s="37">
        <v>0</v>
      </c>
      <c r="AV254" s="37">
        <v>0</v>
      </c>
      <c r="AW254" s="37">
        <v>0</v>
      </c>
      <c r="AX254" s="37">
        <v>0</v>
      </c>
      <c r="AY254" s="37">
        <v>0</v>
      </c>
      <c r="AZ254" s="37">
        <v>0</v>
      </c>
      <c r="BA254" s="43">
        <v>45049</v>
      </c>
      <c r="BB254" s="37">
        <v>0</v>
      </c>
      <c r="BC254" s="37">
        <v>0</v>
      </c>
      <c r="BD254" s="43">
        <v>457170</v>
      </c>
      <c r="BE254" s="37">
        <v>0</v>
      </c>
      <c r="BF254" s="37">
        <v>0</v>
      </c>
      <c r="BG254" s="37">
        <v>0</v>
      </c>
      <c r="BH254" s="37">
        <v>0</v>
      </c>
      <c r="BI254" s="37">
        <v>0</v>
      </c>
      <c r="BJ254" s="37">
        <v>0</v>
      </c>
      <c r="BK254" s="37">
        <v>0</v>
      </c>
      <c r="BL254" s="37">
        <v>0</v>
      </c>
      <c r="BM254" s="37">
        <v>0</v>
      </c>
      <c r="BN254" s="37">
        <v>0</v>
      </c>
      <c r="BO254" s="37">
        <v>0</v>
      </c>
      <c r="BP254" s="37">
        <v>0</v>
      </c>
      <c r="BQ254" s="37">
        <v>0</v>
      </c>
      <c r="BR254" s="37">
        <v>0</v>
      </c>
      <c r="BS254" s="37">
        <v>0</v>
      </c>
      <c r="BT254" s="37">
        <v>0</v>
      </c>
      <c r="BU254" s="37">
        <v>0</v>
      </c>
      <c r="BV254" s="37">
        <v>0</v>
      </c>
      <c r="BW254" s="37">
        <v>0</v>
      </c>
      <c r="BX254" s="43">
        <v>215844</v>
      </c>
      <c r="BY254" s="37">
        <v>0</v>
      </c>
      <c r="BZ254" s="37">
        <v>0</v>
      </c>
      <c r="CA254" s="44">
        <f t="shared" si="21"/>
        <v>853410</v>
      </c>
    </row>
    <row r="255" spans="1:79" x14ac:dyDescent="0.25">
      <c r="A255" s="37" t="s">
        <v>550</v>
      </c>
      <c r="B255" s="37" t="s">
        <v>551</v>
      </c>
      <c r="C255" s="43">
        <v>55680</v>
      </c>
      <c r="D255" s="43">
        <v>534875</v>
      </c>
      <c r="E255" s="43">
        <v>560104</v>
      </c>
      <c r="F255" s="43">
        <v>1240274</v>
      </c>
      <c r="G255" s="43">
        <v>238104</v>
      </c>
      <c r="H255" s="43">
        <v>580100</v>
      </c>
      <c r="I255" s="37">
        <v>0</v>
      </c>
      <c r="J255" s="43">
        <v>1560768</v>
      </c>
      <c r="K255" s="43">
        <v>716525</v>
      </c>
      <c r="L255" s="43">
        <v>218389</v>
      </c>
      <c r="M255" s="43">
        <v>1225030</v>
      </c>
      <c r="N255" s="43">
        <v>4629916</v>
      </c>
      <c r="O255" s="43">
        <v>3832025</v>
      </c>
      <c r="P255" s="43">
        <v>2877</v>
      </c>
      <c r="Q255" s="43">
        <v>7791590</v>
      </c>
      <c r="R255" s="43">
        <v>614543</v>
      </c>
      <c r="S255" s="43">
        <v>520095</v>
      </c>
      <c r="T255" s="43">
        <v>701060</v>
      </c>
      <c r="U255" s="37">
        <v>0</v>
      </c>
      <c r="V255" s="43">
        <v>814985</v>
      </c>
      <c r="W255" s="43">
        <v>2588366</v>
      </c>
      <c r="X255" s="43">
        <v>18639</v>
      </c>
      <c r="Y255" s="43">
        <v>739565</v>
      </c>
      <c r="Z255" s="43">
        <v>1529539</v>
      </c>
      <c r="AA255" s="43">
        <v>85904</v>
      </c>
      <c r="AB255" s="43">
        <v>72184</v>
      </c>
      <c r="AC255" s="43">
        <v>149503</v>
      </c>
      <c r="AD255" s="43">
        <v>2824177</v>
      </c>
      <c r="AE255" s="37">
        <v>0</v>
      </c>
      <c r="AF255" s="43">
        <v>339376</v>
      </c>
      <c r="AG255" s="43">
        <v>143793</v>
      </c>
      <c r="AH255" s="43">
        <v>403989</v>
      </c>
      <c r="AI255" s="43">
        <v>11544950</v>
      </c>
      <c r="AJ255" s="43">
        <v>1350128</v>
      </c>
      <c r="AK255" s="37">
        <v>0</v>
      </c>
      <c r="AL255" s="37">
        <v>0</v>
      </c>
      <c r="AM255" s="44">
        <v>799189</v>
      </c>
      <c r="AN255" s="43">
        <v>6416050</v>
      </c>
      <c r="AO255" s="37">
        <v>0</v>
      </c>
      <c r="AP255" s="43">
        <v>1138840</v>
      </c>
      <c r="AQ255" s="43">
        <v>1129410</v>
      </c>
      <c r="AR255" s="43">
        <v>973751</v>
      </c>
      <c r="AS255" s="43">
        <v>752391</v>
      </c>
      <c r="AT255" s="43">
        <v>449131</v>
      </c>
      <c r="AU255" s="43">
        <v>2378190</v>
      </c>
      <c r="AV255" s="37">
        <v>0</v>
      </c>
      <c r="AW255" s="43">
        <v>167135</v>
      </c>
      <c r="AX255" s="43">
        <v>145324</v>
      </c>
      <c r="AY255" s="43">
        <v>905645</v>
      </c>
      <c r="AZ255" s="43">
        <v>266156</v>
      </c>
      <c r="BA255" s="43">
        <v>218474</v>
      </c>
      <c r="BB255" s="43">
        <v>687344</v>
      </c>
      <c r="BC255" s="43">
        <v>873473</v>
      </c>
      <c r="BD255" s="43">
        <v>184836</v>
      </c>
      <c r="BE255" s="43">
        <v>5065667</v>
      </c>
      <c r="BF255" s="43">
        <v>1416403</v>
      </c>
      <c r="BG255" s="43">
        <v>3031373</v>
      </c>
      <c r="BH255" s="43">
        <v>3612393</v>
      </c>
      <c r="BI255" s="43">
        <v>163333</v>
      </c>
      <c r="BJ255" s="37">
        <v>0</v>
      </c>
      <c r="BK255" s="43">
        <v>6532</v>
      </c>
      <c r="BL255" s="43">
        <v>548095</v>
      </c>
      <c r="BM255" s="43">
        <v>101789</v>
      </c>
      <c r="BN255" s="43">
        <v>1178646</v>
      </c>
      <c r="BO255" s="43">
        <v>1539672</v>
      </c>
      <c r="BP255" s="43">
        <v>455096</v>
      </c>
      <c r="BQ255" s="43">
        <v>1723309</v>
      </c>
      <c r="BR255" s="43">
        <v>987027</v>
      </c>
      <c r="BS255" s="43">
        <v>2562461</v>
      </c>
      <c r="BT255" s="43">
        <v>832921</v>
      </c>
      <c r="BU255" s="37">
        <v>0</v>
      </c>
      <c r="BV255" s="43">
        <v>409103</v>
      </c>
      <c r="BW255" s="43">
        <v>352236</v>
      </c>
      <c r="BX255" s="37">
        <v>0</v>
      </c>
      <c r="BY255" s="43">
        <v>1414344</v>
      </c>
      <c r="BZ255" s="43">
        <v>194032</v>
      </c>
      <c r="CA255" s="44">
        <f t="shared" si="21"/>
        <v>90706824</v>
      </c>
    </row>
    <row r="256" spans="1:79" x14ac:dyDescent="0.25">
      <c r="A256" s="37" t="s">
        <v>552</v>
      </c>
      <c r="B256" s="37" t="s">
        <v>553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44">
        <v>0</v>
      </c>
      <c r="AN256" s="37">
        <v>0</v>
      </c>
      <c r="AO256" s="37">
        <v>0</v>
      </c>
      <c r="AP256" s="37">
        <v>0</v>
      </c>
      <c r="AQ256" s="37">
        <v>0</v>
      </c>
      <c r="AR256" s="37">
        <v>0</v>
      </c>
      <c r="AS256" s="37">
        <v>0</v>
      </c>
      <c r="AT256" s="37">
        <v>0</v>
      </c>
      <c r="AU256" s="37">
        <v>0</v>
      </c>
      <c r="AV256" s="37">
        <v>0</v>
      </c>
      <c r="AW256" s="37">
        <v>0</v>
      </c>
      <c r="AX256" s="37">
        <v>0</v>
      </c>
      <c r="AY256" s="37">
        <v>0</v>
      </c>
      <c r="AZ256" s="37">
        <v>0</v>
      </c>
      <c r="BA256" s="37">
        <v>0</v>
      </c>
      <c r="BB256" s="37">
        <v>0</v>
      </c>
      <c r="BC256" s="37">
        <v>0</v>
      </c>
      <c r="BD256" s="37">
        <v>0</v>
      </c>
      <c r="BE256" s="37">
        <v>0</v>
      </c>
      <c r="BF256" s="37">
        <v>0</v>
      </c>
      <c r="BG256" s="43">
        <v>32278</v>
      </c>
      <c r="BH256" s="37">
        <v>0</v>
      </c>
      <c r="BI256" s="37">
        <v>0</v>
      </c>
      <c r="BJ256" s="37">
        <v>0</v>
      </c>
      <c r="BK256" s="37">
        <v>0</v>
      </c>
      <c r="BL256" s="37">
        <v>0</v>
      </c>
      <c r="BM256" s="37">
        <v>0</v>
      </c>
      <c r="BN256" s="37">
        <v>0</v>
      </c>
      <c r="BO256" s="37">
        <v>0</v>
      </c>
      <c r="BP256" s="37">
        <v>0</v>
      </c>
      <c r="BQ256" s="37">
        <v>0</v>
      </c>
      <c r="BR256" s="37">
        <v>0</v>
      </c>
      <c r="BS256" s="37">
        <v>0</v>
      </c>
      <c r="BT256" s="37">
        <v>0</v>
      </c>
      <c r="BU256" s="37">
        <v>0</v>
      </c>
      <c r="BV256" s="37">
        <v>0</v>
      </c>
      <c r="BW256" s="37">
        <v>0</v>
      </c>
      <c r="BX256" s="37">
        <v>0</v>
      </c>
      <c r="BY256" s="37">
        <v>0</v>
      </c>
      <c r="BZ256" s="37">
        <v>0</v>
      </c>
      <c r="CA256" s="44">
        <f t="shared" si="21"/>
        <v>32278</v>
      </c>
    </row>
    <row r="257" spans="1:79" x14ac:dyDescent="0.25">
      <c r="A257" s="51" t="s">
        <v>554</v>
      </c>
      <c r="B257" s="51" t="s">
        <v>555</v>
      </c>
      <c r="C257" s="37">
        <v>0</v>
      </c>
      <c r="D257" s="43">
        <v>251742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43">
        <v>57021</v>
      </c>
      <c r="K257" s="37">
        <v>0</v>
      </c>
      <c r="L257" s="37">
        <v>0</v>
      </c>
      <c r="M257" s="37">
        <v>0</v>
      </c>
      <c r="N257" s="43">
        <v>9564</v>
      </c>
      <c r="O257" s="37">
        <v>0</v>
      </c>
      <c r="P257" s="37">
        <v>0</v>
      </c>
      <c r="Q257" s="43">
        <v>351063</v>
      </c>
      <c r="R257" s="43">
        <v>738641</v>
      </c>
      <c r="S257" s="37">
        <v>0</v>
      </c>
      <c r="T257" s="43">
        <v>4791</v>
      </c>
      <c r="U257" s="37">
        <v>0</v>
      </c>
      <c r="V257" s="43">
        <v>9210</v>
      </c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43">
        <v>1346622</v>
      </c>
      <c r="AE257" s="37">
        <v>0</v>
      </c>
      <c r="AF257" s="37">
        <v>0</v>
      </c>
      <c r="AG257" s="37">
        <v>180</v>
      </c>
      <c r="AH257" s="43">
        <v>21464</v>
      </c>
      <c r="AI257" s="43">
        <v>186304</v>
      </c>
      <c r="AJ257" s="37">
        <v>0</v>
      </c>
      <c r="AK257" s="37">
        <v>0</v>
      </c>
      <c r="AL257" s="37">
        <v>0</v>
      </c>
      <c r="AM257" s="44">
        <v>3600</v>
      </c>
      <c r="AN257" s="43">
        <v>36226</v>
      </c>
      <c r="AO257" s="37">
        <v>0</v>
      </c>
      <c r="AP257" s="37">
        <v>0</v>
      </c>
      <c r="AQ257" s="43">
        <v>28672</v>
      </c>
      <c r="AR257" s="37">
        <v>542</v>
      </c>
      <c r="AS257" s="37">
        <v>0</v>
      </c>
      <c r="AT257" s="43">
        <v>4000</v>
      </c>
      <c r="AU257" s="37">
        <v>0</v>
      </c>
      <c r="AV257" s="43">
        <v>11877</v>
      </c>
      <c r="AW257" s="37">
        <v>0</v>
      </c>
      <c r="AX257" s="37">
        <v>0</v>
      </c>
      <c r="AY257" s="43">
        <v>59269</v>
      </c>
      <c r="AZ257" s="37">
        <v>0</v>
      </c>
      <c r="BA257" s="37">
        <v>0</v>
      </c>
      <c r="BB257" s="37">
        <v>0</v>
      </c>
      <c r="BC257" s="37">
        <v>0</v>
      </c>
      <c r="BD257" s="37">
        <v>0</v>
      </c>
      <c r="BE257" s="37">
        <v>0</v>
      </c>
      <c r="BF257" s="37">
        <v>0</v>
      </c>
      <c r="BG257" s="43">
        <v>19033</v>
      </c>
      <c r="BH257" s="43">
        <v>45991</v>
      </c>
      <c r="BI257" s="37">
        <v>0</v>
      </c>
      <c r="BJ257" s="43">
        <v>57132</v>
      </c>
      <c r="BK257" s="43">
        <v>5738636</v>
      </c>
      <c r="BL257" s="37">
        <v>0</v>
      </c>
      <c r="BM257" s="37">
        <v>0</v>
      </c>
      <c r="BN257" s="43">
        <v>27930</v>
      </c>
      <c r="BO257" s="37">
        <v>0</v>
      </c>
      <c r="BP257" s="43">
        <v>53400</v>
      </c>
      <c r="BQ257" s="37">
        <v>0</v>
      </c>
      <c r="BR257" s="43">
        <v>2100</v>
      </c>
      <c r="BS257" s="37">
        <v>0</v>
      </c>
      <c r="BT257" s="37">
        <v>0</v>
      </c>
      <c r="BU257" s="37">
        <v>0</v>
      </c>
      <c r="BV257" s="43">
        <v>110609</v>
      </c>
      <c r="BW257" s="43">
        <v>108935</v>
      </c>
      <c r="BX257" s="43">
        <v>2964</v>
      </c>
      <c r="BY257" s="37">
        <v>0</v>
      </c>
      <c r="BZ257" s="37">
        <v>0</v>
      </c>
      <c r="CA257" s="44">
        <f t="shared" si="21"/>
        <v>9287518</v>
      </c>
    </row>
    <row r="258" spans="1:79" x14ac:dyDescent="0.25">
      <c r="A258" s="37" t="s">
        <v>556</v>
      </c>
      <c r="B258" s="37" t="s">
        <v>557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v>0</v>
      </c>
      <c r="P258" s="37">
        <v>0</v>
      </c>
      <c r="Q258" s="43">
        <v>2700000</v>
      </c>
      <c r="R258" s="43">
        <v>15000000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44">
        <v>0</v>
      </c>
      <c r="AN258" s="37">
        <v>0</v>
      </c>
      <c r="AO258" s="37">
        <v>0</v>
      </c>
      <c r="AP258" s="37">
        <v>0</v>
      </c>
      <c r="AQ258" s="37">
        <v>0</v>
      </c>
      <c r="AR258" s="43">
        <v>661320</v>
      </c>
      <c r="AS258" s="37">
        <v>0</v>
      </c>
      <c r="AT258" s="37">
        <v>0</v>
      </c>
      <c r="AU258" s="37">
        <v>0</v>
      </c>
      <c r="AV258" s="37">
        <v>0</v>
      </c>
      <c r="AW258" s="37">
        <v>0</v>
      </c>
      <c r="AX258" s="37">
        <v>0</v>
      </c>
      <c r="AY258" s="37">
        <v>0</v>
      </c>
      <c r="AZ258" s="37">
        <v>0</v>
      </c>
      <c r="BA258" s="37">
        <v>0</v>
      </c>
      <c r="BB258" s="37">
        <v>0</v>
      </c>
      <c r="BC258" s="37">
        <v>0</v>
      </c>
      <c r="BD258" s="37">
        <v>0</v>
      </c>
      <c r="BE258" s="37">
        <v>0</v>
      </c>
      <c r="BF258" s="37">
        <v>0</v>
      </c>
      <c r="BG258" s="43">
        <v>341063</v>
      </c>
      <c r="BH258" s="37">
        <v>0</v>
      </c>
      <c r="BI258" s="37">
        <v>0</v>
      </c>
      <c r="BJ258" s="37">
        <v>0</v>
      </c>
      <c r="BK258" s="37">
        <v>0</v>
      </c>
      <c r="BL258" s="37">
        <v>0</v>
      </c>
      <c r="BM258" s="37">
        <v>0</v>
      </c>
      <c r="BN258" s="37">
        <v>0</v>
      </c>
      <c r="BO258" s="37">
        <v>0</v>
      </c>
      <c r="BP258" s="37">
        <v>0</v>
      </c>
      <c r="BQ258" s="37">
        <v>0</v>
      </c>
      <c r="BR258" s="37">
        <v>0</v>
      </c>
      <c r="BS258" s="37">
        <v>0</v>
      </c>
      <c r="BT258" s="37">
        <v>0</v>
      </c>
      <c r="BU258" s="37">
        <v>0</v>
      </c>
      <c r="BV258" s="37">
        <v>0</v>
      </c>
      <c r="BW258" s="37">
        <v>0</v>
      </c>
      <c r="BX258" s="43">
        <v>2736211</v>
      </c>
      <c r="BY258" s="43">
        <v>200000</v>
      </c>
      <c r="BZ258" s="43">
        <v>971890</v>
      </c>
      <c r="CA258" s="44">
        <f t="shared" si="21"/>
        <v>22610484</v>
      </c>
    </row>
    <row r="259" spans="1:79" x14ac:dyDescent="0.25">
      <c r="A259" s="37" t="s">
        <v>558</v>
      </c>
      <c r="B259" s="37" t="s">
        <v>559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43">
        <v>320849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43">
        <v>888625</v>
      </c>
      <c r="AI259" s="37">
        <v>0</v>
      </c>
      <c r="AJ259" s="37">
        <v>0</v>
      </c>
      <c r="AK259" s="37">
        <v>0</v>
      </c>
      <c r="AL259" s="37">
        <v>0</v>
      </c>
      <c r="AM259" s="44">
        <v>0</v>
      </c>
      <c r="AN259" s="37">
        <v>0</v>
      </c>
      <c r="AO259" s="37">
        <v>0</v>
      </c>
      <c r="AP259" s="37">
        <v>0</v>
      </c>
      <c r="AQ259" s="37">
        <v>0</v>
      </c>
      <c r="AR259" s="37">
        <v>0</v>
      </c>
      <c r="AS259" s="37">
        <v>0</v>
      </c>
      <c r="AT259" s="37">
        <v>0</v>
      </c>
      <c r="AU259" s="43">
        <v>3215533</v>
      </c>
      <c r="AV259" s="37">
        <v>0</v>
      </c>
      <c r="AW259" s="37">
        <v>0</v>
      </c>
      <c r="AX259" s="37">
        <v>0</v>
      </c>
      <c r="AY259" s="37">
        <v>0</v>
      </c>
      <c r="AZ259" s="37">
        <v>0</v>
      </c>
      <c r="BA259" s="37">
        <v>0</v>
      </c>
      <c r="BB259" s="37">
        <v>0</v>
      </c>
      <c r="BC259" s="37">
        <v>0</v>
      </c>
      <c r="BD259" s="37">
        <v>0</v>
      </c>
      <c r="BE259" s="37">
        <v>0</v>
      </c>
      <c r="BF259" s="37">
        <v>0</v>
      </c>
      <c r="BG259" s="37">
        <v>0</v>
      </c>
      <c r="BH259" s="37">
        <v>0</v>
      </c>
      <c r="BI259" s="37">
        <v>0</v>
      </c>
      <c r="BJ259" s="37">
        <v>0</v>
      </c>
      <c r="BK259" s="37">
        <v>0</v>
      </c>
      <c r="BL259" s="37">
        <v>0</v>
      </c>
      <c r="BM259" s="37">
        <v>0</v>
      </c>
      <c r="BN259" s="37">
        <v>0</v>
      </c>
      <c r="BO259" s="37">
        <v>0</v>
      </c>
      <c r="BP259" s="37">
        <v>0</v>
      </c>
      <c r="BQ259" s="37">
        <v>0</v>
      </c>
      <c r="BR259" s="43">
        <v>393080</v>
      </c>
      <c r="BS259" s="37">
        <v>0</v>
      </c>
      <c r="BT259" s="37">
        <v>0</v>
      </c>
      <c r="BU259" s="37">
        <v>0</v>
      </c>
      <c r="BV259" s="37">
        <v>0</v>
      </c>
      <c r="BW259" s="37">
        <v>0</v>
      </c>
      <c r="BX259" s="43">
        <v>43880</v>
      </c>
      <c r="BY259" s="43">
        <v>-3330</v>
      </c>
      <c r="BZ259" s="37">
        <v>0</v>
      </c>
      <c r="CA259" s="44">
        <f t="shared" si="21"/>
        <v>4858637</v>
      </c>
    </row>
    <row r="260" spans="1:79" x14ac:dyDescent="0.25">
      <c r="A260" s="37" t="s">
        <v>560</v>
      </c>
      <c r="B260" s="37" t="s">
        <v>561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43">
        <v>4935357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43">
        <v>474315</v>
      </c>
      <c r="R260" s="37">
        <v>0</v>
      </c>
      <c r="S260" s="37">
        <v>0</v>
      </c>
      <c r="T260" s="37">
        <v>0</v>
      </c>
      <c r="U260" s="37">
        <v>0</v>
      </c>
      <c r="V260" s="43">
        <v>873235</v>
      </c>
      <c r="W260" s="37">
        <v>0</v>
      </c>
      <c r="X260" s="37">
        <v>0</v>
      </c>
      <c r="Y260" s="37">
        <v>0</v>
      </c>
      <c r="Z260" s="43">
        <v>3725000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43">
        <v>784441</v>
      </c>
      <c r="AI260" s="37">
        <v>0</v>
      </c>
      <c r="AJ260" s="37">
        <v>0</v>
      </c>
      <c r="AK260" s="37">
        <v>0</v>
      </c>
      <c r="AL260" s="37">
        <v>0</v>
      </c>
      <c r="AM260" s="44">
        <v>0</v>
      </c>
      <c r="AN260" s="37">
        <v>0</v>
      </c>
      <c r="AO260" s="37">
        <v>0</v>
      </c>
      <c r="AP260" s="37">
        <v>0</v>
      </c>
      <c r="AQ260" s="37">
        <v>0</v>
      </c>
      <c r="AR260" s="37">
        <v>0</v>
      </c>
      <c r="AS260" s="37">
        <v>0</v>
      </c>
      <c r="AT260" s="37">
        <v>0</v>
      </c>
      <c r="AU260" s="37">
        <v>0</v>
      </c>
      <c r="AV260" s="37">
        <v>0</v>
      </c>
      <c r="AW260" s="43">
        <v>11096</v>
      </c>
      <c r="AX260" s="37">
        <v>0</v>
      </c>
      <c r="AY260" s="37">
        <v>0</v>
      </c>
      <c r="AZ260" s="37">
        <v>0</v>
      </c>
      <c r="BA260" s="37">
        <v>0</v>
      </c>
      <c r="BB260" s="37">
        <v>0</v>
      </c>
      <c r="BC260" s="37">
        <v>0</v>
      </c>
      <c r="BD260" s="37">
        <v>0</v>
      </c>
      <c r="BE260" s="37">
        <v>0</v>
      </c>
      <c r="BF260" s="37">
        <v>0</v>
      </c>
      <c r="BG260" s="37">
        <v>0</v>
      </c>
      <c r="BH260" s="37">
        <v>0</v>
      </c>
      <c r="BI260" s="37">
        <v>0</v>
      </c>
      <c r="BJ260" s="37">
        <v>0</v>
      </c>
      <c r="BK260" s="37">
        <v>0</v>
      </c>
      <c r="BL260" s="37">
        <v>0</v>
      </c>
      <c r="BM260" s="37">
        <v>0</v>
      </c>
      <c r="BN260" s="37">
        <v>0</v>
      </c>
      <c r="BO260" s="43">
        <v>3000000</v>
      </c>
      <c r="BP260" s="37">
        <v>0</v>
      </c>
      <c r="BQ260" s="37">
        <v>0</v>
      </c>
      <c r="BR260" s="37">
        <v>0</v>
      </c>
      <c r="BS260" s="37">
        <v>0</v>
      </c>
      <c r="BT260" s="37">
        <v>0</v>
      </c>
      <c r="BU260" s="37">
        <v>0</v>
      </c>
      <c r="BV260" s="37">
        <v>0</v>
      </c>
      <c r="BW260" s="37">
        <v>0</v>
      </c>
      <c r="BX260" s="37">
        <v>0</v>
      </c>
      <c r="BY260" s="43">
        <v>605825</v>
      </c>
      <c r="BZ260" s="37">
        <v>0</v>
      </c>
      <c r="CA260" s="44">
        <f t="shared" si="21"/>
        <v>14409269</v>
      </c>
    </row>
    <row r="261" spans="1:79" x14ac:dyDescent="0.25">
      <c r="A261" s="51" t="s">
        <v>562</v>
      </c>
      <c r="B261" s="51" t="s">
        <v>563</v>
      </c>
      <c r="AM261" s="44"/>
      <c r="CA261" s="44">
        <f t="shared" si="21"/>
        <v>0</v>
      </c>
    </row>
    <row r="262" spans="1:79" x14ac:dyDescent="0.25">
      <c r="A262" s="51" t="s">
        <v>564</v>
      </c>
      <c r="B262" s="51" t="s">
        <v>565</v>
      </c>
      <c r="C262" s="37">
        <v>0</v>
      </c>
      <c r="D262" s="43">
        <v>30000000</v>
      </c>
      <c r="E262" s="37">
        <v>0</v>
      </c>
      <c r="F262" s="37">
        <v>0</v>
      </c>
      <c r="G262" s="37">
        <v>0</v>
      </c>
      <c r="H262" s="43">
        <v>41224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43">
        <v>4300002</v>
      </c>
      <c r="R262" s="37">
        <v>0</v>
      </c>
      <c r="S262" s="37">
        <v>0</v>
      </c>
      <c r="T262" s="37">
        <v>0</v>
      </c>
      <c r="U262" s="37">
        <v>0</v>
      </c>
      <c r="V262" s="43">
        <v>428373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43">
        <v>1609810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44">
        <v>0</v>
      </c>
      <c r="AN262" s="37">
        <v>0</v>
      </c>
      <c r="AO262" s="37">
        <v>0</v>
      </c>
      <c r="AP262" s="43">
        <v>5425613</v>
      </c>
      <c r="AQ262" s="37">
        <v>0</v>
      </c>
      <c r="AR262" s="37">
        <v>0</v>
      </c>
      <c r="AS262" s="37">
        <v>0</v>
      </c>
      <c r="AT262" s="37">
        <v>0</v>
      </c>
      <c r="AU262" s="43">
        <v>1080885</v>
      </c>
      <c r="AV262" s="37">
        <v>0</v>
      </c>
      <c r="AW262" s="37">
        <v>0</v>
      </c>
      <c r="AX262" s="37">
        <v>0</v>
      </c>
      <c r="AY262" s="37">
        <v>0</v>
      </c>
      <c r="AZ262" s="37">
        <v>0</v>
      </c>
      <c r="BA262" s="43">
        <v>233727</v>
      </c>
      <c r="BB262" s="37">
        <v>0</v>
      </c>
      <c r="BC262" s="37">
        <v>0</v>
      </c>
      <c r="BD262" s="37">
        <v>0</v>
      </c>
      <c r="BE262" s="37">
        <v>0</v>
      </c>
      <c r="BF262" s="37">
        <v>0</v>
      </c>
      <c r="BG262" s="37">
        <v>0</v>
      </c>
      <c r="BH262" s="37">
        <v>0</v>
      </c>
      <c r="BI262" s="37">
        <v>0</v>
      </c>
      <c r="BJ262" s="37">
        <v>0</v>
      </c>
      <c r="BK262" s="37">
        <v>0</v>
      </c>
      <c r="BL262" s="37">
        <v>0</v>
      </c>
      <c r="BM262" s="37">
        <v>0</v>
      </c>
      <c r="BN262" s="37">
        <v>0</v>
      </c>
      <c r="BO262" s="37">
        <v>0</v>
      </c>
      <c r="BP262" s="37">
        <v>0</v>
      </c>
      <c r="BQ262" s="37">
        <v>0</v>
      </c>
      <c r="BR262" s="37">
        <v>0</v>
      </c>
      <c r="BS262" s="37">
        <v>0</v>
      </c>
      <c r="BT262" s="37">
        <v>0</v>
      </c>
      <c r="BU262" s="37">
        <v>0</v>
      </c>
      <c r="BV262" s="37">
        <v>0</v>
      </c>
      <c r="BW262" s="37">
        <v>0</v>
      </c>
      <c r="BX262" s="43">
        <v>1328008</v>
      </c>
      <c r="BY262" s="43">
        <v>69643</v>
      </c>
      <c r="BZ262" s="37">
        <v>0</v>
      </c>
      <c r="CA262" s="44">
        <f t="shared" si="21"/>
        <v>44517285</v>
      </c>
    </row>
    <row r="263" spans="1:79" x14ac:dyDescent="0.25">
      <c r="A263" s="37" t="s">
        <v>182</v>
      </c>
      <c r="B263" s="37" t="s">
        <v>566</v>
      </c>
      <c r="C263" s="43">
        <f>SUM(C241:C262)</f>
        <v>5741003</v>
      </c>
      <c r="D263" s="43">
        <f t="shared" ref="D263:BO263" si="24">SUM(D241:D262)</f>
        <v>68381564</v>
      </c>
      <c r="E263" s="43">
        <f t="shared" si="24"/>
        <v>1548665</v>
      </c>
      <c r="F263" s="43">
        <f t="shared" si="24"/>
        <v>35430462</v>
      </c>
      <c r="G263" s="43">
        <f t="shared" si="24"/>
        <v>7408218</v>
      </c>
      <c r="H263" s="43">
        <f t="shared" si="24"/>
        <v>4944661</v>
      </c>
      <c r="I263" s="43">
        <f t="shared" si="24"/>
        <v>12889691</v>
      </c>
      <c r="J263" s="43">
        <f t="shared" si="24"/>
        <v>32131355</v>
      </c>
      <c r="K263" s="43">
        <f t="shared" si="24"/>
        <v>3683724</v>
      </c>
      <c r="L263" s="43">
        <f t="shared" si="24"/>
        <v>2562515</v>
      </c>
      <c r="M263" s="43">
        <f t="shared" si="24"/>
        <v>2407329</v>
      </c>
      <c r="N263" s="43">
        <f t="shared" si="24"/>
        <v>34027138</v>
      </c>
      <c r="O263" s="43">
        <f t="shared" si="24"/>
        <v>111459956</v>
      </c>
      <c r="P263" s="43">
        <f t="shared" si="24"/>
        <v>5576905</v>
      </c>
      <c r="Q263" s="43">
        <f t="shared" si="24"/>
        <v>127069922</v>
      </c>
      <c r="R263" s="43">
        <f t="shared" si="24"/>
        <v>38800326</v>
      </c>
      <c r="S263" s="43">
        <f t="shared" si="24"/>
        <v>19165718</v>
      </c>
      <c r="T263" s="43">
        <f t="shared" si="24"/>
        <v>9994605</v>
      </c>
      <c r="U263" s="43">
        <f t="shared" si="24"/>
        <v>0</v>
      </c>
      <c r="V263" s="43">
        <f t="shared" si="24"/>
        <v>25032187</v>
      </c>
      <c r="W263" s="43">
        <f t="shared" si="24"/>
        <v>32173959</v>
      </c>
      <c r="X263" s="43">
        <f t="shared" si="24"/>
        <v>1194066</v>
      </c>
      <c r="Y263" s="43">
        <f t="shared" si="24"/>
        <v>1379456</v>
      </c>
      <c r="Z263" s="43">
        <f t="shared" si="24"/>
        <v>55832409</v>
      </c>
      <c r="AA263" s="43">
        <f t="shared" si="24"/>
        <v>36466265</v>
      </c>
      <c r="AB263" s="43">
        <f t="shared" si="24"/>
        <v>4754215</v>
      </c>
      <c r="AC263" s="43">
        <f t="shared" si="24"/>
        <v>4678566</v>
      </c>
      <c r="AD263" s="43">
        <f t="shared" si="24"/>
        <v>49153159</v>
      </c>
      <c r="AE263" s="43">
        <f t="shared" si="24"/>
        <v>1632460</v>
      </c>
      <c r="AF263" s="43">
        <f t="shared" si="24"/>
        <v>4246014</v>
      </c>
      <c r="AG263" s="43">
        <f t="shared" si="24"/>
        <v>2406691</v>
      </c>
      <c r="AH263" s="43">
        <f t="shared" si="24"/>
        <v>5470954</v>
      </c>
      <c r="AI263" s="43">
        <f t="shared" si="24"/>
        <v>316825544</v>
      </c>
      <c r="AJ263" s="43">
        <f t="shared" si="24"/>
        <v>19430582</v>
      </c>
      <c r="AK263" s="43">
        <f t="shared" si="24"/>
        <v>977026</v>
      </c>
      <c r="AL263" s="43">
        <f t="shared" si="24"/>
        <v>2227401</v>
      </c>
      <c r="AM263" s="43">
        <f t="shared" si="24"/>
        <v>10345631</v>
      </c>
      <c r="AN263" s="43">
        <f t="shared" si="24"/>
        <v>119682820</v>
      </c>
      <c r="AO263" s="43">
        <f t="shared" si="24"/>
        <v>0</v>
      </c>
      <c r="AP263" s="43">
        <f t="shared" si="24"/>
        <v>35310001</v>
      </c>
      <c r="AQ263" s="43">
        <f t="shared" si="24"/>
        <v>43138435</v>
      </c>
      <c r="AR263" s="43">
        <f t="shared" si="24"/>
        <v>12299624</v>
      </c>
      <c r="AS263" s="43">
        <f t="shared" si="24"/>
        <v>5810544</v>
      </c>
      <c r="AT263" s="43">
        <f t="shared" si="24"/>
        <v>3194840</v>
      </c>
      <c r="AU263" s="43">
        <f t="shared" si="24"/>
        <v>53513642</v>
      </c>
      <c r="AV263" s="43">
        <f t="shared" si="24"/>
        <v>21328835</v>
      </c>
      <c r="AW263" s="43">
        <f t="shared" si="24"/>
        <v>78893243</v>
      </c>
      <c r="AX263" s="43">
        <f t="shared" si="24"/>
        <v>5634088</v>
      </c>
      <c r="AY263" s="43">
        <f t="shared" si="24"/>
        <v>12895295</v>
      </c>
      <c r="AZ263" s="43">
        <f t="shared" si="24"/>
        <v>2019575</v>
      </c>
      <c r="BA263" s="43">
        <f t="shared" si="24"/>
        <v>1325995</v>
      </c>
      <c r="BB263" s="43">
        <f t="shared" si="24"/>
        <v>4775668</v>
      </c>
      <c r="BC263" s="43">
        <f t="shared" si="24"/>
        <v>16452659</v>
      </c>
      <c r="BD263" s="43">
        <f t="shared" si="24"/>
        <v>33484832</v>
      </c>
      <c r="BE263" s="43">
        <f t="shared" si="24"/>
        <v>30385313</v>
      </c>
      <c r="BF263" s="43">
        <f t="shared" si="24"/>
        <v>46920322</v>
      </c>
      <c r="BG263" s="43">
        <f t="shared" si="24"/>
        <v>76247936</v>
      </c>
      <c r="BH263" s="43">
        <f t="shared" si="24"/>
        <v>204153952</v>
      </c>
      <c r="BI263" s="43">
        <f t="shared" si="24"/>
        <v>2912637</v>
      </c>
      <c r="BJ263" s="43">
        <f t="shared" si="24"/>
        <v>12138896</v>
      </c>
      <c r="BK263" s="43">
        <f t="shared" si="24"/>
        <v>76144582</v>
      </c>
      <c r="BL263" s="43">
        <f t="shared" si="24"/>
        <v>8701358</v>
      </c>
      <c r="BM263" s="43">
        <f t="shared" si="24"/>
        <v>114785796</v>
      </c>
      <c r="BN263" s="43">
        <f t="shared" si="24"/>
        <v>143716133</v>
      </c>
      <c r="BO263" s="43">
        <f t="shared" si="24"/>
        <v>45834433</v>
      </c>
      <c r="BP263" s="43">
        <f t="shared" ref="BP263:CA263" si="25">SUM(BP241:BP262)</f>
        <v>26546559</v>
      </c>
      <c r="BQ263" s="43">
        <f t="shared" si="25"/>
        <v>28752756</v>
      </c>
      <c r="BR263" s="43">
        <f t="shared" si="25"/>
        <v>9547518</v>
      </c>
      <c r="BS263" s="43">
        <f t="shared" si="25"/>
        <v>9534727</v>
      </c>
      <c r="BT263" s="43">
        <f t="shared" si="25"/>
        <v>8975282</v>
      </c>
      <c r="BU263" s="43">
        <f t="shared" si="25"/>
        <v>9234920</v>
      </c>
      <c r="BV263" s="43">
        <f t="shared" si="25"/>
        <v>35907634</v>
      </c>
      <c r="BW263" s="43">
        <f t="shared" si="25"/>
        <v>67889941</v>
      </c>
      <c r="BX263" s="43">
        <f t="shared" si="25"/>
        <v>25508313</v>
      </c>
      <c r="BY263" s="43">
        <f t="shared" si="25"/>
        <v>20825823</v>
      </c>
      <c r="BZ263" s="43">
        <f t="shared" si="25"/>
        <v>3344141</v>
      </c>
      <c r="CA263" s="44">
        <f t="shared" si="25"/>
        <v>2555219410</v>
      </c>
    </row>
    <row r="264" spans="1:79" x14ac:dyDescent="0.25">
      <c r="A264" s="37" t="s">
        <v>182</v>
      </c>
      <c r="B264" s="37" t="s">
        <v>567</v>
      </c>
      <c r="C264" s="43">
        <f>C263+C239+C184+C60+C54</f>
        <v>51957954</v>
      </c>
      <c r="D264" s="43">
        <f t="shared" ref="D264:BO264" si="26">D263+D239+D184+D60+D54</f>
        <v>437992359</v>
      </c>
      <c r="E264" s="43">
        <f t="shared" si="26"/>
        <v>26123896</v>
      </c>
      <c r="F264" s="43">
        <f t="shared" si="26"/>
        <v>183400667</v>
      </c>
      <c r="G264" s="43">
        <f t="shared" si="26"/>
        <v>61263597</v>
      </c>
      <c r="H264" s="43">
        <f t="shared" si="26"/>
        <v>50390780</v>
      </c>
      <c r="I264" s="43">
        <f t="shared" si="26"/>
        <v>70147207</v>
      </c>
      <c r="J264" s="43">
        <f t="shared" si="26"/>
        <v>247087298</v>
      </c>
      <c r="K264" s="43">
        <f t="shared" si="26"/>
        <v>43355438</v>
      </c>
      <c r="L264" s="43">
        <f t="shared" si="26"/>
        <v>35664487</v>
      </c>
      <c r="M264" s="43">
        <f t="shared" si="26"/>
        <v>29279800</v>
      </c>
      <c r="N264" s="43">
        <f t="shared" si="26"/>
        <v>510548848</v>
      </c>
      <c r="O264" s="43">
        <f t="shared" si="26"/>
        <v>756942214</v>
      </c>
      <c r="P264" s="43">
        <f t="shared" si="26"/>
        <v>34739551</v>
      </c>
      <c r="Q264" s="43">
        <f t="shared" si="26"/>
        <v>1348961034</v>
      </c>
      <c r="R264" s="43">
        <f t="shared" si="26"/>
        <v>179159800</v>
      </c>
      <c r="S264" s="43">
        <f t="shared" si="26"/>
        <v>109599443</v>
      </c>
      <c r="T264" s="43">
        <f t="shared" si="26"/>
        <v>117042113</v>
      </c>
      <c r="U264" s="43">
        <f t="shared" si="26"/>
        <v>0</v>
      </c>
      <c r="V264" s="43">
        <f t="shared" si="26"/>
        <v>117511451</v>
      </c>
      <c r="W264" s="43">
        <f t="shared" si="26"/>
        <v>216199063</v>
      </c>
      <c r="X264" s="43">
        <f t="shared" si="26"/>
        <v>25806888</v>
      </c>
      <c r="Y264" s="43">
        <f t="shared" si="26"/>
        <v>68216770</v>
      </c>
      <c r="Z264" s="43">
        <f t="shared" si="26"/>
        <v>417094881</v>
      </c>
      <c r="AA264" s="43">
        <f t="shared" si="26"/>
        <v>82695195</v>
      </c>
      <c r="AB264" s="43">
        <f t="shared" si="26"/>
        <v>59511033</v>
      </c>
      <c r="AC264" s="43">
        <f t="shared" si="26"/>
        <v>63700711</v>
      </c>
      <c r="AD264" s="43">
        <f t="shared" si="26"/>
        <v>314148310</v>
      </c>
      <c r="AE264" s="43">
        <f t="shared" si="26"/>
        <v>19957247</v>
      </c>
      <c r="AF264" s="43">
        <f t="shared" si="26"/>
        <v>56520305</v>
      </c>
      <c r="AG264" s="43">
        <f t="shared" si="26"/>
        <v>21395751</v>
      </c>
      <c r="AH264" s="43">
        <f t="shared" si="26"/>
        <v>161576118</v>
      </c>
      <c r="AI264" s="43">
        <f t="shared" si="26"/>
        <v>1561488985</v>
      </c>
      <c r="AJ264" s="43">
        <f t="shared" si="26"/>
        <v>155827754</v>
      </c>
      <c r="AK264" s="43">
        <f t="shared" si="26"/>
        <v>18289679</v>
      </c>
      <c r="AL264" s="43">
        <f t="shared" si="26"/>
        <v>26511614</v>
      </c>
      <c r="AM264" s="43">
        <f t="shared" si="26"/>
        <v>56744238</v>
      </c>
      <c r="AN264" s="43">
        <f t="shared" si="26"/>
        <v>949205833</v>
      </c>
      <c r="AO264" s="43">
        <f t="shared" si="26"/>
        <v>0</v>
      </c>
      <c r="AP264" s="43">
        <f t="shared" si="26"/>
        <v>205484037</v>
      </c>
      <c r="AQ264" s="43">
        <f t="shared" si="26"/>
        <v>275170967</v>
      </c>
      <c r="AR264" s="43">
        <f t="shared" si="26"/>
        <v>97272491</v>
      </c>
      <c r="AS264" s="43">
        <f t="shared" si="26"/>
        <v>54761504</v>
      </c>
      <c r="AT264" s="43">
        <f t="shared" si="26"/>
        <v>34278486</v>
      </c>
      <c r="AU264" s="43">
        <f t="shared" si="26"/>
        <v>514547060</v>
      </c>
      <c r="AV264" s="43">
        <f t="shared" si="26"/>
        <v>181917443</v>
      </c>
      <c r="AW264" s="43">
        <f t="shared" si="26"/>
        <v>123466611</v>
      </c>
      <c r="AX264" s="43">
        <f t="shared" si="26"/>
        <v>66140275</v>
      </c>
      <c r="AY264" s="43">
        <f t="shared" si="26"/>
        <v>322125175</v>
      </c>
      <c r="AZ264" s="43">
        <f t="shared" si="26"/>
        <v>19040695</v>
      </c>
      <c r="BA264" s="43">
        <f t="shared" si="26"/>
        <v>65039099</v>
      </c>
      <c r="BB264" s="43">
        <f t="shared" si="26"/>
        <v>70974411</v>
      </c>
      <c r="BC264" s="43">
        <f t="shared" si="26"/>
        <v>119232838</v>
      </c>
      <c r="BD264" s="43">
        <f t="shared" si="26"/>
        <v>211504488</v>
      </c>
      <c r="BE264" s="43">
        <f t="shared" si="26"/>
        <v>252863309</v>
      </c>
      <c r="BF264" s="43">
        <f t="shared" si="26"/>
        <v>293238849</v>
      </c>
      <c r="BG264" s="43">
        <f t="shared" si="26"/>
        <v>602063898</v>
      </c>
      <c r="BH264" s="43">
        <f t="shared" si="26"/>
        <v>696132081</v>
      </c>
      <c r="BI264" s="43">
        <f t="shared" si="26"/>
        <v>44153259</v>
      </c>
      <c r="BJ264" s="43">
        <f t="shared" si="26"/>
        <v>101129013</v>
      </c>
      <c r="BK264" s="43">
        <f t="shared" si="26"/>
        <v>242720302</v>
      </c>
      <c r="BL264" s="43">
        <f t="shared" si="26"/>
        <v>61262500</v>
      </c>
      <c r="BM264" s="43">
        <f t="shared" si="26"/>
        <v>159271061</v>
      </c>
      <c r="BN264" s="43">
        <f t="shared" si="26"/>
        <v>318664763</v>
      </c>
      <c r="BO264" s="43">
        <f t="shared" si="26"/>
        <v>241699961</v>
      </c>
      <c r="BP264" s="43">
        <f t="shared" ref="BP264:CA264" si="27">BP263+BP239+BP184+BP60+BP54</f>
        <v>191367491</v>
      </c>
      <c r="BQ264" s="43">
        <f t="shared" si="27"/>
        <v>256712001</v>
      </c>
      <c r="BR264" s="43">
        <f t="shared" si="27"/>
        <v>66030751</v>
      </c>
      <c r="BS264" s="43">
        <f t="shared" si="27"/>
        <v>85333630</v>
      </c>
      <c r="BT264" s="43">
        <f t="shared" si="27"/>
        <v>94727431</v>
      </c>
      <c r="BU264" s="43">
        <f t="shared" si="27"/>
        <v>153465563</v>
      </c>
      <c r="BV264" s="43">
        <f t="shared" si="27"/>
        <v>316755337</v>
      </c>
      <c r="BW264" s="43">
        <f t="shared" si="27"/>
        <v>352176667</v>
      </c>
      <c r="BX264" s="43">
        <f t="shared" si="27"/>
        <v>265641990</v>
      </c>
      <c r="BY264" s="43">
        <f t="shared" si="27"/>
        <v>272560976</v>
      </c>
      <c r="BZ264" s="43">
        <f t="shared" si="27"/>
        <v>27222487</v>
      </c>
      <c r="CA264" s="44">
        <f t="shared" si="27"/>
        <v>16142207212</v>
      </c>
    </row>
    <row r="265" spans="1:79" x14ac:dyDescent="0.25">
      <c r="A265" s="37" t="s">
        <v>182</v>
      </c>
      <c r="B265" s="37" t="s">
        <v>568</v>
      </c>
      <c r="C265" s="43">
        <f>C264-C263</f>
        <v>46216951</v>
      </c>
      <c r="D265" s="43">
        <f t="shared" ref="D265:BO265" si="28">D264-D263</f>
        <v>369610795</v>
      </c>
      <c r="E265" s="43">
        <f t="shared" si="28"/>
        <v>24575231</v>
      </c>
      <c r="F265" s="43">
        <f t="shared" si="28"/>
        <v>147970205</v>
      </c>
      <c r="G265" s="43">
        <f t="shared" si="28"/>
        <v>53855379</v>
      </c>
      <c r="H265" s="43">
        <f t="shared" si="28"/>
        <v>45446119</v>
      </c>
      <c r="I265" s="43">
        <f t="shared" si="28"/>
        <v>57257516</v>
      </c>
      <c r="J265" s="43">
        <f t="shared" si="28"/>
        <v>214955943</v>
      </c>
      <c r="K265" s="43">
        <f t="shared" si="28"/>
        <v>39671714</v>
      </c>
      <c r="L265" s="43">
        <f t="shared" si="28"/>
        <v>33101972</v>
      </c>
      <c r="M265" s="43">
        <f t="shared" si="28"/>
        <v>26872471</v>
      </c>
      <c r="N265" s="43">
        <f t="shared" si="28"/>
        <v>476521710</v>
      </c>
      <c r="O265" s="43">
        <f t="shared" si="28"/>
        <v>645482258</v>
      </c>
      <c r="P265" s="43">
        <f t="shared" si="28"/>
        <v>29162646</v>
      </c>
      <c r="Q265" s="43">
        <f t="shared" si="28"/>
        <v>1221891112</v>
      </c>
      <c r="R265" s="43">
        <f t="shared" si="28"/>
        <v>140359474</v>
      </c>
      <c r="S265" s="43">
        <f t="shared" si="28"/>
        <v>90433725</v>
      </c>
      <c r="T265" s="43">
        <f t="shared" si="28"/>
        <v>107047508</v>
      </c>
      <c r="U265" s="43">
        <f t="shared" si="28"/>
        <v>0</v>
      </c>
      <c r="V265" s="43">
        <f t="shared" si="28"/>
        <v>92479264</v>
      </c>
      <c r="W265" s="43">
        <f t="shared" si="28"/>
        <v>184025104</v>
      </c>
      <c r="X265" s="43">
        <f t="shared" si="28"/>
        <v>24612822</v>
      </c>
      <c r="Y265" s="43">
        <f t="shared" si="28"/>
        <v>66837314</v>
      </c>
      <c r="Z265" s="43">
        <f t="shared" si="28"/>
        <v>361262472</v>
      </c>
      <c r="AA265" s="43">
        <f t="shared" si="28"/>
        <v>46228930</v>
      </c>
      <c r="AB265" s="43">
        <f t="shared" si="28"/>
        <v>54756818</v>
      </c>
      <c r="AC265" s="43">
        <f t="shared" si="28"/>
        <v>59022145</v>
      </c>
      <c r="AD265" s="43">
        <f t="shared" si="28"/>
        <v>264995151</v>
      </c>
      <c r="AE265" s="43">
        <f t="shared" si="28"/>
        <v>18324787</v>
      </c>
      <c r="AF265" s="43">
        <f t="shared" si="28"/>
        <v>52274291</v>
      </c>
      <c r="AG265" s="43">
        <f t="shared" si="28"/>
        <v>18989060</v>
      </c>
      <c r="AH265" s="43">
        <f t="shared" si="28"/>
        <v>156105164</v>
      </c>
      <c r="AI265" s="43">
        <f t="shared" si="28"/>
        <v>1244663441</v>
      </c>
      <c r="AJ265" s="43">
        <f t="shared" si="28"/>
        <v>136397172</v>
      </c>
      <c r="AK265" s="43">
        <f t="shared" si="28"/>
        <v>17312653</v>
      </c>
      <c r="AL265" s="43">
        <f t="shared" si="28"/>
        <v>24284213</v>
      </c>
      <c r="AM265" s="43">
        <f t="shared" si="28"/>
        <v>46398607</v>
      </c>
      <c r="AN265" s="43">
        <f t="shared" si="28"/>
        <v>829523013</v>
      </c>
      <c r="AO265" s="43">
        <f t="shared" si="28"/>
        <v>0</v>
      </c>
      <c r="AP265" s="43">
        <f t="shared" si="28"/>
        <v>170174036</v>
      </c>
      <c r="AQ265" s="43">
        <f t="shared" si="28"/>
        <v>232032532</v>
      </c>
      <c r="AR265" s="43">
        <f t="shared" si="28"/>
        <v>84972867</v>
      </c>
      <c r="AS265" s="43">
        <f t="shared" si="28"/>
        <v>48950960</v>
      </c>
      <c r="AT265" s="43">
        <f t="shared" si="28"/>
        <v>31083646</v>
      </c>
      <c r="AU265" s="43">
        <f t="shared" si="28"/>
        <v>461033418</v>
      </c>
      <c r="AV265" s="43">
        <f t="shared" si="28"/>
        <v>160588608</v>
      </c>
      <c r="AW265" s="43">
        <f t="shared" si="28"/>
        <v>44573368</v>
      </c>
      <c r="AX265" s="43">
        <f t="shared" si="28"/>
        <v>60506187</v>
      </c>
      <c r="AY265" s="43">
        <f t="shared" si="28"/>
        <v>309229880</v>
      </c>
      <c r="AZ265" s="43">
        <f t="shared" si="28"/>
        <v>17021120</v>
      </c>
      <c r="BA265" s="43">
        <f t="shared" si="28"/>
        <v>63713104</v>
      </c>
      <c r="BB265" s="43">
        <f t="shared" si="28"/>
        <v>66198743</v>
      </c>
      <c r="BC265" s="43">
        <f t="shared" si="28"/>
        <v>102780179</v>
      </c>
      <c r="BD265" s="43">
        <f t="shared" si="28"/>
        <v>178019656</v>
      </c>
      <c r="BE265" s="43">
        <f t="shared" si="28"/>
        <v>222477996</v>
      </c>
      <c r="BF265" s="43">
        <f t="shared" si="28"/>
        <v>246318527</v>
      </c>
      <c r="BG265" s="43">
        <f t="shared" si="28"/>
        <v>525815962</v>
      </c>
      <c r="BH265" s="43">
        <f t="shared" si="28"/>
        <v>491978129</v>
      </c>
      <c r="BI265" s="43">
        <f t="shared" si="28"/>
        <v>41240622</v>
      </c>
      <c r="BJ265" s="43">
        <f t="shared" si="28"/>
        <v>88990117</v>
      </c>
      <c r="BK265" s="43">
        <f t="shared" si="28"/>
        <v>166575720</v>
      </c>
      <c r="BL265" s="43">
        <f t="shared" si="28"/>
        <v>52561142</v>
      </c>
      <c r="BM265" s="43">
        <f t="shared" si="28"/>
        <v>44485265</v>
      </c>
      <c r="BN265" s="43">
        <f t="shared" si="28"/>
        <v>174948630</v>
      </c>
      <c r="BO265" s="43">
        <f t="shared" si="28"/>
        <v>195865528</v>
      </c>
      <c r="BP265" s="43">
        <f t="shared" ref="BP265:CA265" si="29">BP264-BP263</f>
        <v>164820932</v>
      </c>
      <c r="BQ265" s="43">
        <f t="shared" si="29"/>
        <v>227959245</v>
      </c>
      <c r="BR265" s="43">
        <f t="shared" si="29"/>
        <v>56483233</v>
      </c>
      <c r="BS265" s="43">
        <f t="shared" si="29"/>
        <v>75798903</v>
      </c>
      <c r="BT265" s="43">
        <f t="shared" si="29"/>
        <v>85752149</v>
      </c>
      <c r="BU265" s="43">
        <f t="shared" si="29"/>
        <v>144230643</v>
      </c>
      <c r="BV265" s="43">
        <f t="shared" si="29"/>
        <v>280847703</v>
      </c>
      <c r="BW265" s="43">
        <f t="shared" si="29"/>
        <v>284286726</v>
      </c>
      <c r="BX265" s="43">
        <f t="shared" si="29"/>
        <v>240133677</v>
      </c>
      <c r="BY265" s="43">
        <f t="shared" si="29"/>
        <v>251735153</v>
      </c>
      <c r="BZ265" s="43">
        <f t="shared" si="29"/>
        <v>23878346</v>
      </c>
      <c r="CA265" s="44">
        <f t="shared" si="29"/>
        <v>13586987802</v>
      </c>
    </row>
    <row r="267" spans="1:79" x14ac:dyDescent="0.25">
      <c r="C267" s="43"/>
      <c r="D267" s="43"/>
    </row>
    <row r="268" spans="1:79" x14ac:dyDescent="0.25">
      <c r="N268" s="43"/>
    </row>
    <row r="269" spans="1:79" x14ac:dyDescent="0.25">
      <c r="N269" s="43"/>
    </row>
    <row r="270" spans="1:79" x14ac:dyDescent="0.25">
      <c r="N270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E088-DD8B-4238-82E4-7D266BA8C512}">
  <dimension ref="A1:O283"/>
  <sheetViews>
    <sheetView zoomScaleNormal="100" workbookViewId="0">
      <selection activeCell="F4" sqref="F4"/>
    </sheetView>
  </sheetViews>
  <sheetFormatPr defaultRowHeight="12.75" x14ac:dyDescent="0.2"/>
  <cols>
    <col min="1" max="1" width="2.7109375" style="31" customWidth="1"/>
    <col min="2" max="2" width="2.85546875" style="31" customWidth="1"/>
    <col min="3" max="3" width="5.140625" style="31" customWidth="1"/>
    <col min="4" max="4" width="5" style="32" customWidth="1"/>
    <col min="5" max="5" width="13.7109375" style="31" customWidth="1"/>
    <col min="6" max="6" width="13.140625" style="31" customWidth="1"/>
    <col min="7" max="7" width="36.140625" style="31" customWidth="1"/>
    <col min="8" max="16384" width="9.140625" style="31"/>
  </cols>
  <sheetData>
    <row r="1" spans="1:8" x14ac:dyDescent="0.2">
      <c r="A1" s="29" t="s">
        <v>998</v>
      </c>
      <c r="B1" s="29"/>
      <c r="C1" s="29"/>
      <c r="D1" s="29"/>
      <c r="E1" s="29"/>
      <c r="F1" s="29"/>
      <c r="G1" s="29"/>
      <c r="H1" s="30"/>
    </row>
    <row r="2" spans="1:8" x14ac:dyDescent="0.2">
      <c r="A2" s="29" t="s">
        <v>1125</v>
      </c>
      <c r="B2" s="29"/>
      <c r="C2" s="29"/>
      <c r="D2" s="29"/>
      <c r="E2" s="29"/>
      <c r="F2" s="29"/>
      <c r="G2" s="29"/>
      <c r="H2" s="30"/>
    </row>
    <row r="3" spans="1:8" x14ac:dyDescent="0.2">
      <c r="A3" s="35"/>
      <c r="B3" s="35"/>
      <c r="C3" s="35"/>
      <c r="D3" s="36"/>
      <c r="E3" s="35"/>
      <c r="F3" s="35"/>
      <c r="G3" s="35"/>
      <c r="H3" s="35"/>
    </row>
    <row r="4" spans="1:8" x14ac:dyDescent="0.2">
      <c r="A4" s="35"/>
      <c r="B4" s="35"/>
      <c r="C4" s="35"/>
      <c r="D4" s="36"/>
      <c r="E4" s="35"/>
      <c r="F4" s="35"/>
      <c r="G4" s="35"/>
      <c r="H4" s="35"/>
    </row>
    <row r="5" spans="1:8" x14ac:dyDescent="0.2">
      <c r="A5" s="31" t="s">
        <v>1126</v>
      </c>
    </row>
    <row r="7" spans="1:8" x14ac:dyDescent="0.2">
      <c r="A7" s="31" t="s">
        <v>1127</v>
      </c>
    </row>
    <row r="8" spans="1:8" x14ac:dyDescent="0.2">
      <c r="C8" s="31" t="s">
        <v>1128</v>
      </c>
    </row>
    <row r="9" spans="1:8" x14ac:dyDescent="0.2">
      <c r="C9" s="31" t="s">
        <v>1129</v>
      </c>
    </row>
    <row r="10" spans="1:8" x14ac:dyDescent="0.2">
      <c r="C10" s="31" t="s">
        <v>1124</v>
      </c>
      <c r="D10" s="32" t="s">
        <v>1130</v>
      </c>
    </row>
    <row r="11" spans="1:8" x14ac:dyDescent="0.2">
      <c r="D11" s="32" t="s">
        <v>1131</v>
      </c>
    </row>
    <row r="12" spans="1:8" x14ac:dyDescent="0.2">
      <c r="D12" s="32" t="s">
        <v>1132</v>
      </c>
    </row>
    <row r="13" spans="1:8" x14ac:dyDescent="0.2">
      <c r="C13" s="31" t="s">
        <v>1133</v>
      </c>
    </row>
    <row r="14" spans="1:8" x14ac:dyDescent="0.2">
      <c r="D14" s="32" t="s">
        <v>1134</v>
      </c>
    </row>
    <row r="15" spans="1:8" x14ac:dyDescent="0.2">
      <c r="D15" s="32" t="s">
        <v>1135</v>
      </c>
    </row>
    <row r="16" spans="1:8" x14ac:dyDescent="0.2">
      <c r="D16" s="32" t="s">
        <v>1136</v>
      </c>
    </row>
    <row r="17" spans="1:4" x14ac:dyDescent="0.2">
      <c r="D17" s="32" t="s">
        <v>1137</v>
      </c>
    </row>
    <row r="18" spans="1:4" x14ac:dyDescent="0.2">
      <c r="C18" s="31" t="s">
        <v>1138</v>
      </c>
    </row>
    <row r="19" spans="1:4" x14ac:dyDescent="0.2">
      <c r="D19" s="31" t="s">
        <v>1139</v>
      </c>
    </row>
    <row r="21" spans="1:4" x14ac:dyDescent="0.2">
      <c r="A21" s="31" t="s">
        <v>85</v>
      </c>
    </row>
    <row r="22" spans="1:4" x14ac:dyDescent="0.2">
      <c r="C22" s="31" t="s">
        <v>1140</v>
      </c>
    </row>
    <row r="23" spans="1:4" x14ac:dyDescent="0.2">
      <c r="C23" s="31" t="s">
        <v>1124</v>
      </c>
      <c r="D23" s="32" t="s">
        <v>1141</v>
      </c>
    </row>
    <row r="24" spans="1:4" x14ac:dyDescent="0.2">
      <c r="D24" s="32" t="s">
        <v>1142</v>
      </c>
    </row>
    <row r="25" spans="1:4" x14ac:dyDescent="0.2">
      <c r="D25" s="32" t="s">
        <v>1143</v>
      </c>
    </row>
    <row r="26" spans="1:4" x14ac:dyDescent="0.2">
      <c r="D26" s="32" t="s">
        <v>1144</v>
      </c>
    </row>
    <row r="27" spans="1:4" x14ac:dyDescent="0.2">
      <c r="D27" s="32" t="s">
        <v>1145</v>
      </c>
    </row>
    <row r="28" spans="1:4" x14ac:dyDescent="0.2">
      <c r="D28" s="32" t="s">
        <v>1146</v>
      </c>
    </row>
    <row r="29" spans="1:4" x14ac:dyDescent="0.2">
      <c r="C29" s="31" t="s">
        <v>1147</v>
      </c>
    </row>
    <row r="30" spans="1:4" x14ac:dyDescent="0.2">
      <c r="D30" s="32" t="s">
        <v>1148</v>
      </c>
    </row>
    <row r="31" spans="1:4" x14ac:dyDescent="0.2">
      <c r="D31" s="32" t="s">
        <v>1149</v>
      </c>
    </row>
    <row r="32" spans="1:4" x14ac:dyDescent="0.2">
      <c r="D32" s="32" t="s">
        <v>1150</v>
      </c>
    </row>
    <row r="33" spans="3:7" x14ac:dyDescent="0.2">
      <c r="D33" s="32" t="s">
        <v>1151</v>
      </c>
      <c r="E33" s="32"/>
      <c r="F33" s="32"/>
      <c r="G33" s="32"/>
    </row>
    <row r="34" spans="3:7" x14ac:dyDescent="0.2">
      <c r="C34" s="31" t="s">
        <v>1152</v>
      </c>
    </row>
    <row r="35" spans="3:7" x14ac:dyDescent="0.2">
      <c r="D35" s="32" t="s">
        <v>1153</v>
      </c>
    </row>
    <row r="36" spans="3:7" x14ac:dyDescent="0.2">
      <c r="D36" s="32" t="s">
        <v>1154</v>
      </c>
      <c r="E36" s="32"/>
      <c r="F36" s="32"/>
      <c r="G36" s="32"/>
    </row>
    <row r="37" spans="3:7" x14ac:dyDescent="0.2">
      <c r="D37" s="32" t="s">
        <v>1155</v>
      </c>
    </row>
    <row r="38" spans="3:7" x14ac:dyDescent="0.2">
      <c r="C38" s="31" t="s">
        <v>1156</v>
      </c>
    </row>
    <row r="39" spans="3:7" x14ac:dyDescent="0.2">
      <c r="D39" s="32" t="s">
        <v>1157</v>
      </c>
    </row>
    <row r="40" spans="3:7" x14ac:dyDescent="0.2">
      <c r="D40" s="32" t="s">
        <v>1158</v>
      </c>
    </row>
    <row r="41" spans="3:7" x14ac:dyDescent="0.2">
      <c r="D41" s="32" t="s">
        <v>1159</v>
      </c>
    </row>
    <row r="42" spans="3:7" x14ac:dyDescent="0.2">
      <c r="D42" s="32" t="s">
        <v>1160</v>
      </c>
    </row>
    <row r="43" spans="3:7" x14ac:dyDescent="0.2">
      <c r="D43" s="32" t="s">
        <v>1161</v>
      </c>
    </row>
    <row r="44" spans="3:7" x14ac:dyDescent="0.2">
      <c r="D44" s="32" t="s">
        <v>1162</v>
      </c>
    </row>
    <row r="45" spans="3:7" x14ac:dyDescent="0.2">
      <c r="C45" s="31" t="s">
        <v>1163</v>
      </c>
    </row>
    <row r="46" spans="3:7" x14ac:dyDescent="0.2">
      <c r="D46" s="32" t="s">
        <v>1164</v>
      </c>
    </row>
    <row r="47" spans="3:7" x14ac:dyDescent="0.2">
      <c r="D47" s="32" t="s">
        <v>1165</v>
      </c>
    </row>
    <row r="48" spans="3:7" x14ac:dyDescent="0.2">
      <c r="D48" s="32" t="s">
        <v>1166</v>
      </c>
    </row>
    <row r="49" spans="2:7" x14ac:dyDescent="0.2">
      <c r="D49" s="32" t="s">
        <v>1167</v>
      </c>
    </row>
    <row r="50" spans="2:7" x14ac:dyDescent="0.2">
      <c r="D50" s="32" t="s">
        <v>1168</v>
      </c>
    </row>
    <row r="51" spans="2:7" x14ac:dyDescent="0.2">
      <c r="C51" s="31" t="s">
        <v>1169</v>
      </c>
    </row>
    <row r="52" spans="2:7" x14ac:dyDescent="0.2">
      <c r="C52" s="31" t="s">
        <v>1124</v>
      </c>
      <c r="D52" s="32" t="s">
        <v>1170</v>
      </c>
    </row>
    <row r="53" spans="2:7" x14ac:dyDescent="0.2">
      <c r="D53" s="32" t="s">
        <v>1171</v>
      </c>
    </row>
    <row r="54" spans="2:7" x14ac:dyDescent="0.2">
      <c r="D54" s="32" t="s">
        <v>1172</v>
      </c>
      <c r="E54" s="32"/>
      <c r="F54" s="32"/>
      <c r="G54" s="32"/>
    </row>
    <row r="55" spans="2:7" x14ac:dyDescent="0.2">
      <c r="D55" s="32" t="s">
        <v>1173</v>
      </c>
      <c r="E55" s="32"/>
      <c r="F55" s="32"/>
      <c r="G55" s="32"/>
    </row>
    <row r="56" spans="2:7" x14ac:dyDescent="0.2">
      <c r="D56" s="32" t="s">
        <v>1174</v>
      </c>
    </row>
    <row r="57" spans="2:7" x14ac:dyDescent="0.2">
      <c r="D57" s="32" t="s">
        <v>1175</v>
      </c>
    </row>
    <row r="58" spans="2:7" x14ac:dyDescent="0.2">
      <c r="D58" s="32" t="s">
        <v>1176</v>
      </c>
    </row>
    <row r="59" spans="2:7" x14ac:dyDescent="0.2">
      <c r="D59" s="32" t="s">
        <v>1177</v>
      </c>
      <c r="E59" s="32"/>
      <c r="F59" s="32"/>
      <c r="G59" s="32"/>
    </row>
    <row r="60" spans="2:7" x14ac:dyDescent="0.2">
      <c r="D60" s="32" t="s">
        <v>1178</v>
      </c>
      <c r="E60" s="32"/>
      <c r="F60" s="32"/>
      <c r="G60" s="32"/>
    </row>
    <row r="61" spans="2:7" x14ac:dyDescent="0.2">
      <c r="D61" s="32" t="s">
        <v>1179</v>
      </c>
      <c r="E61" s="32"/>
      <c r="F61" s="32"/>
      <c r="G61" s="32"/>
    </row>
    <row r="62" spans="2:7" x14ac:dyDescent="0.2">
      <c r="E62" s="32"/>
      <c r="F62" s="32"/>
      <c r="G62" s="32"/>
    </row>
    <row r="63" spans="2:7" x14ac:dyDescent="0.2">
      <c r="B63" s="34" t="s">
        <v>1180</v>
      </c>
      <c r="D63" s="33"/>
      <c r="E63" s="33"/>
      <c r="F63" s="33"/>
      <c r="G63" s="33"/>
    </row>
    <row r="64" spans="2:7" x14ac:dyDescent="0.2">
      <c r="C64" s="34">
        <v>2000</v>
      </c>
      <c r="D64" s="34" t="s">
        <v>185</v>
      </c>
      <c r="F64" s="33"/>
      <c r="G64" s="33"/>
    </row>
    <row r="65" spans="3:7" x14ac:dyDescent="0.2">
      <c r="C65" s="34">
        <v>2100</v>
      </c>
      <c r="D65" s="34" t="s">
        <v>187</v>
      </c>
      <c r="F65" s="33"/>
      <c r="G65" s="33"/>
    </row>
    <row r="66" spans="3:7" x14ac:dyDescent="0.2">
      <c r="C66" s="34">
        <v>2200</v>
      </c>
      <c r="D66" s="34" t="s">
        <v>189</v>
      </c>
      <c r="F66" s="33"/>
      <c r="G66" s="33"/>
    </row>
    <row r="67" spans="3:7" x14ac:dyDescent="0.2">
      <c r="C67" s="34">
        <v>2300</v>
      </c>
      <c r="D67" s="34" t="s">
        <v>191</v>
      </c>
      <c r="F67" s="33"/>
      <c r="G67" s="33"/>
    </row>
    <row r="68" spans="3:7" x14ac:dyDescent="0.2">
      <c r="C68" s="34"/>
      <c r="D68" s="34" t="s">
        <v>192</v>
      </c>
      <c r="E68" s="34" t="s">
        <v>193</v>
      </c>
      <c r="F68" s="33"/>
      <c r="G68" s="33"/>
    </row>
    <row r="69" spans="3:7" x14ac:dyDescent="0.2">
      <c r="E69" s="32"/>
      <c r="F69" s="32"/>
      <c r="G69" s="32"/>
    </row>
    <row r="70" spans="3:7" x14ac:dyDescent="0.2">
      <c r="C70" s="31">
        <v>5000</v>
      </c>
      <c r="D70" s="32" t="s">
        <v>523</v>
      </c>
      <c r="E70" s="32"/>
      <c r="F70" s="32"/>
      <c r="G70" s="32"/>
    </row>
    <row r="71" spans="3:7" x14ac:dyDescent="0.2">
      <c r="C71" s="34">
        <v>5100</v>
      </c>
      <c r="D71" s="34" t="s">
        <v>1403</v>
      </c>
      <c r="F71" s="32"/>
      <c r="G71" s="32"/>
    </row>
    <row r="72" spans="3:7" x14ac:dyDescent="0.2">
      <c r="D72" s="34">
        <v>5110</v>
      </c>
      <c r="E72" s="34" t="s">
        <v>527</v>
      </c>
      <c r="F72" s="32"/>
      <c r="G72" s="32"/>
    </row>
    <row r="73" spans="3:7" x14ac:dyDescent="0.2">
      <c r="D73" s="34">
        <v>5120</v>
      </c>
      <c r="E73" s="34" t="s">
        <v>529</v>
      </c>
      <c r="F73" s="32"/>
      <c r="G73" s="32"/>
    </row>
    <row r="74" spans="3:7" x14ac:dyDescent="0.2">
      <c r="D74" s="34">
        <v>5121</v>
      </c>
      <c r="E74" s="34" t="s">
        <v>531</v>
      </c>
      <c r="F74" s="32"/>
      <c r="G74" s="32"/>
    </row>
    <row r="75" spans="3:7" x14ac:dyDescent="0.2">
      <c r="D75" s="34">
        <v>5130</v>
      </c>
      <c r="E75" s="34" t="s">
        <v>533</v>
      </c>
      <c r="F75" s="32"/>
      <c r="G75" s="32"/>
    </row>
    <row r="76" spans="3:7" x14ac:dyDescent="0.2">
      <c r="C76" s="34">
        <v>5200</v>
      </c>
      <c r="D76" s="33" t="s">
        <v>1404</v>
      </c>
      <c r="E76" s="34"/>
      <c r="F76" s="33"/>
      <c r="G76" s="34"/>
    </row>
    <row r="77" spans="3:7" x14ac:dyDescent="0.2">
      <c r="C77" s="34"/>
      <c r="D77" s="34">
        <v>5210</v>
      </c>
      <c r="E77" s="33" t="s">
        <v>537</v>
      </c>
      <c r="F77" s="33"/>
      <c r="G77" s="33"/>
    </row>
    <row r="78" spans="3:7" x14ac:dyDescent="0.2">
      <c r="C78" s="34"/>
      <c r="D78" s="34">
        <v>5220</v>
      </c>
      <c r="E78" s="33" t="s">
        <v>539</v>
      </c>
      <c r="F78" s="33"/>
      <c r="G78" s="33"/>
    </row>
    <row r="79" spans="3:7" x14ac:dyDescent="0.2">
      <c r="C79" s="34"/>
      <c r="D79" s="34">
        <v>5230</v>
      </c>
      <c r="E79" s="33" t="s">
        <v>541</v>
      </c>
      <c r="F79" s="33"/>
      <c r="G79" s="33"/>
    </row>
    <row r="80" spans="3:7" x14ac:dyDescent="0.2">
      <c r="C80" s="34"/>
      <c r="D80" s="34">
        <v>5240</v>
      </c>
      <c r="E80" s="33" t="s">
        <v>543</v>
      </c>
      <c r="F80" s="33"/>
      <c r="G80" s="33"/>
    </row>
    <row r="81" spans="1:7" x14ac:dyDescent="0.2">
      <c r="C81" s="34"/>
      <c r="D81" s="34">
        <v>5250</v>
      </c>
      <c r="E81" s="33" t="s">
        <v>545</v>
      </c>
      <c r="F81" s="33"/>
      <c r="G81" s="33"/>
    </row>
    <row r="82" spans="1:7" x14ac:dyDescent="0.2">
      <c r="C82" s="34"/>
      <c r="D82" s="34">
        <v>5260</v>
      </c>
      <c r="E82" s="33" t="s">
        <v>547</v>
      </c>
      <c r="F82" s="33"/>
      <c r="G82" s="33"/>
    </row>
    <row r="83" spans="1:7" x14ac:dyDescent="0.2">
      <c r="C83" s="34"/>
      <c r="D83" s="34">
        <v>5270</v>
      </c>
      <c r="E83" s="33" t="s">
        <v>549</v>
      </c>
      <c r="F83" s="33"/>
      <c r="G83" s="33"/>
    </row>
    <row r="84" spans="1:7" x14ac:dyDescent="0.2">
      <c r="C84" s="34"/>
      <c r="D84" s="34">
        <v>5280</v>
      </c>
      <c r="E84" s="33" t="s">
        <v>551</v>
      </c>
      <c r="F84" s="33"/>
      <c r="G84" s="33"/>
    </row>
    <row r="85" spans="1:7" x14ac:dyDescent="0.2">
      <c r="C85" s="34"/>
      <c r="D85" s="34">
        <v>5290</v>
      </c>
      <c r="E85" s="33" t="s">
        <v>553</v>
      </c>
      <c r="F85" s="33"/>
      <c r="G85" s="33"/>
    </row>
    <row r="86" spans="1:7" x14ac:dyDescent="0.2">
      <c r="C86" s="31">
        <v>5300</v>
      </c>
      <c r="D86" s="32" t="s">
        <v>555</v>
      </c>
      <c r="F86" s="32"/>
      <c r="G86" s="32"/>
    </row>
    <row r="87" spans="1:7" x14ac:dyDescent="0.2">
      <c r="C87" s="34">
        <v>5400</v>
      </c>
      <c r="D87" s="33" t="s">
        <v>1405</v>
      </c>
      <c r="E87" s="34"/>
      <c r="F87" s="33"/>
      <c r="G87" s="33"/>
    </row>
    <row r="88" spans="1:7" x14ac:dyDescent="0.2">
      <c r="C88" s="34">
        <v>5500</v>
      </c>
      <c r="D88" s="33" t="s">
        <v>1406</v>
      </c>
      <c r="E88" s="34"/>
      <c r="F88" s="33"/>
      <c r="G88" s="32"/>
    </row>
    <row r="89" spans="1:7" x14ac:dyDescent="0.2">
      <c r="C89" s="34">
        <v>5600</v>
      </c>
      <c r="D89" s="33" t="s">
        <v>1407</v>
      </c>
      <c r="E89" s="34"/>
      <c r="F89" s="33"/>
      <c r="G89" s="32"/>
    </row>
    <row r="90" spans="1:7" x14ac:dyDescent="0.2">
      <c r="C90" s="31">
        <v>5900</v>
      </c>
      <c r="D90" s="32" t="s">
        <v>563</v>
      </c>
      <c r="F90" s="32"/>
      <c r="G90" s="32"/>
    </row>
    <row r="91" spans="1:7" x14ac:dyDescent="0.2">
      <c r="D91" s="31">
        <v>5999</v>
      </c>
      <c r="E91" s="32" t="s">
        <v>565</v>
      </c>
      <c r="F91" s="32"/>
      <c r="G91" s="32"/>
    </row>
    <row r="92" spans="1:7" x14ac:dyDescent="0.2">
      <c r="D92" s="31"/>
      <c r="E92" s="32"/>
      <c r="F92" s="32"/>
      <c r="G92" s="32"/>
    </row>
    <row r="93" spans="1:7" x14ac:dyDescent="0.2">
      <c r="A93" s="31" t="s">
        <v>88</v>
      </c>
    </row>
    <row r="94" spans="1:7" x14ac:dyDescent="0.2">
      <c r="C94" s="31" t="s">
        <v>1181</v>
      </c>
    </row>
    <row r="95" spans="1:7" x14ac:dyDescent="0.2">
      <c r="C95" s="31" t="s">
        <v>1182</v>
      </c>
    </row>
    <row r="96" spans="1:7" x14ac:dyDescent="0.2">
      <c r="C96" s="32">
        <v>3103</v>
      </c>
      <c r="D96" s="32" t="s">
        <v>1369</v>
      </c>
    </row>
    <row r="97" spans="1:7" x14ac:dyDescent="0.2">
      <c r="A97" s="31" t="s">
        <v>1124</v>
      </c>
      <c r="C97" s="31" t="s">
        <v>1183</v>
      </c>
    </row>
    <row r="98" spans="1:7" x14ac:dyDescent="0.2">
      <c r="C98" s="31" t="s">
        <v>1184</v>
      </c>
    </row>
    <row r="99" spans="1:7" x14ac:dyDescent="0.2">
      <c r="D99" s="32" t="s">
        <v>1185</v>
      </c>
    </row>
    <row r="100" spans="1:7" x14ac:dyDescent="0.2">
      <c r="D100" s="32" t="s">
        <v>1186</v>
      </c>
      <c r="E100" s="32"/>
      <c r="F100" s="32"/>
      <c r="G100" s="32"/>
    </row>
    <row r="101" spans="1:7" x14ac:dyDescent="0.2">
      <c r="C101" s="31" t="s">
        <v>1187</v>
      </c>
    </row>
    <row r="102" spans="1:7" x14ac:dyDescent="0.2">
      <c r="D102" s="32" t="s">
        <v>1188</v>
      </c>
      <c r="E102" s="32"/>
      <c r="F102" s="32"/>
      <c r="G102" s="32"/>
    </row>
    <row r="103" spans="1:7" x14ac:dyDescent="0.2">
      <c r="C103" s="31" t="s">
        <v>1189</v>
      </c>
    </row>
    <row r="104" spans="1:7" x14ac:dyDescent="0.2">
      <c r="D104" s="32" t="s">
        <v>1190</v>
      </c>
    </row>
    <row r="105" spans="1:7" x14ac:dyDescent="0.2">
      <c r="D105" s="32" t="s">
        <v>1191</v>
      </c>
    </row>
    <row r="106" spans="1:7" x14ac:dyDescent="0.2">
      <c r="D106" s="32" t="s">
        <v>1192</v>
      </c>
      <c r="E106" s="32"/>
      <c r="F106" s="32"/>
      <c r="G106" s="32"/>
    </row>
    <row r="107" spans="1:7" x14ac:dyDescent="0.2">
      <c r="D107" s="32" t="s">
        <v>1193</v>
      </c>
      <c r="E107" s="32"/>
      <c r="F107" s="32"/>
      <c r="G107" s="32"/>
    </row>
    <row r="108" spans="1:7" x14ac:dyDescent="0.2">
      <c r="D108" s="32" t="s">
        <v>1194</v>
      </c>
      <c r="E108" s="32"/>
      <c r="F108" s="32"/>
      <c r="G108" s="32"/>
    </row>
    <row r="109" spans="1:7" x14ac:dyDescent="0.2">
      <c r="C109" s="31" t="s">
        <v>1195</v>
      </c>
    </row>
    <row r="110" spans="1:7" x14ac:dyDescent="0.2">
      <c r="D110" s="32" t="s">
        <v>1196</v>
      </c>
    </row>
    <row r="111" spans="1:7" x14ac:dyDescent="0.2">
      <c r="C111" s="32">
        <v>3143</v>
      </c>
      <c r="D111" s="32" t="s">
        <v>228</v>
      </c>
      <c r="E111" s="34"/>
    </row>
    <row r="112" spans="1:7" x14ac:dyDescent="0.2">
      <c r="C112" s="32" t="s">
        <v>1197</v>
      </c>
      <c r="E112" s="32"/>
      <c r="F112" s="32"/>
    </row>
    <row r="113" spans="3:8" x14ac:dyDescent="0.2">
      <c r="C113" s="32" t="s">
        <v>1198</v>
      </c>
      <c r="E113" s="32"/>
      <c r="F113" s="32"/>
    </row>
    <row r="114" spans="3:8" x14ac:dyDescent="0.2">
      <c r="C114" s="31" t="s">
        <v>1199</v>
      </c>
    </row>
    <row r="115" spans="3:8" x14ac:dyDescent="0.2">
      <c r="D115" s="32" t="s">
        <v>1200</v>
      </c>
      <c r="E115" s="32"/>
      <c r="F115" s="32"/>
      <c r="G115" s="32"/>
    </row>
    <row r="116" spans="3:8" x14ac:dyDescent="0.2">
      <c r="D116" s="32" t="s">
        <v>1201</v>
      </c>
      <c r="E116" s="32"/>
      <c r="F116" s="32"/>
      <c r="G116" s="32"/>
    </row>
    <row r="117" spans="3:8" x14ac:dyDescent="0.2">
      <c r="D117" s="32" t="s">
        <v>1202</v>
      </c>
      <c r="E117" s="32"/>
      <c r="F117" s="32"/>
      <c r="G117" s="32"/>
    </row>
    <row r="118" spans="3:8" x14ac:dyDescent="0.2">
      <c r="D118" s="32" t="s">
        <v>1203</v>
      </c>
      <c r="E118" s="32"/>
      <c r="F118" s="32"/>
      <c r="G118" s="32"/>
    </row>
    <row r="119" spans="3:8" x14ac:dyDescent="0.2">
      <c r="C119" s="31" t="s">
        <v>1204</v>
      </c>
    </row>
    <row r="120" spans="3:8" x14ac:dyDescent="0.2">
      <c r="D120" s="32" t="s">
        <v>1205</v>
      </c>
    </row>
    <row r="121" spans="3:8" x14ac:dyDescent="0.2">
      <c r="C121" s="31" t="s">
        <v>1206</v>
      </c>
    </row>
    <row r="122" spans="3:8" x14ac:dyDescent="0.2">
      <c r="C122" s="31" t="s">
        <v>1207</v>
      </c>
    </row>
    <row r="123" spans="3:8" x14ac:dyDescent="0.2">
      <c r="C123" s="31" t="s">
        <v>1208</v>
      </c>
    </row>
    <row r="124" spans="3:8" x14ac:dyDescent="0.2">
      <c r="C124" s="31" t="s">
        <v>1209</v>
      </c>
    </row>
    <row r="125" spans="3:8" x14ac:dyDescent="0.2">
      <c r="C125" s="31" t="s">
        <v>1210</v>
      </c>
    </row>
    <row r="126" spans="3:8" x14ac:dyDescent="0.2">
      <c r="D126" s="32" t="s">
        <v>1211</v>
      </c>
    </row>
    <row r="127" spans="3:8" x14ac:dyDescent="0.2">
      <c r="D127" s="32" t="s">
        <v>1212</v>
      </c>
    </row>
    <row r="128" spans="3:8" x14ac:dyDescent="0.2">
      <c r="D128" s="32" t="s">
        <v>1213</v>
      </c>
      <c r="E128" s="32"/>
      <c r="F128" s="32"/>
      <c r="G128" s="32"/>
      <c r="H128" s="32"/>
    </row>
    <row r="129" spans="3:8" x14ac:dyDescent="0.2">
      <c r="D129" s="32" t="s">
        <v>1214</v>
      </c>
      <c r="H129" s="32"/>
    </row>
    <row r="130" spans="3:8" x14ac:dyDescent="0.2">
      <c r="C130" s="31" t="s">
        <v>1215</v>
      </c>
      <c r="H130" s="32"/>
    </row>
    <row r="131" spans="3:8" x14ac:dyDescent="0.2">
      <c r="D131" s="32" t="s">
        <v>1216</v>
      </c>
      <c r="E131" s="32"/>
      <c r="F131" s="32"/>
      <c r="G131" s="32"/>
    </row>
    <row r="132" spans="3:8" x14ac:dyDescent="0.2">
      <c r="D132" s="32" t="s">
        <v>1217</v>
      </c>
      <c r="E132" s="32"/>
      <c r="F132" s="32"/>
      <c r="G132" s="32"/>
    </row>
    <row r="133" spans="3:8" x14ac:dyDescent="0.2">
      <c r="D133" s="32" t="s">
        <v>1218</v>
      </c>
      <c r="E133" s="32"/>
      <c r="F133" s="32"/>
      <c r="G133" s="32"/>
    </row>
    <row r="134" spans="3:8" x14ac:dyDescent="0.2">
      <c r="D134" s="32" t="s">
        <v>1219</v>
      </c>
      <c r="E134" s="32"/>
      <c r="F134" s="32"/>
      <c r="G134" s="32"/>
    </row>
    <row r="135" spans="3:8" x14ac:dyDescent="0.2">
      <c r="C135" s="31" t="s">
        <v>1220</v>
      </c>
      <c r="E135" s="32"/>
      <c r="F135" s="32"/>
      <c r="G135" s="32"/>
    </row>
    <row r="136" spans="3:8" x14ac:dyDescent="0.2">
      <c r="C136" s="31" t="s">
        <v>1221</v>
      </c>
    </row>
    <row r="137" spans="3:8" x14ac:dyDescent="0.2">
      <c r="D137" s="32" t="s">
        <v>1222</v>
      </c>
    </row>
    <row r="138" spans="3:8" x14ac:dyDescent="0.2">
      <c r="D138" s="32" t="s">
        <v>1223</v>
      </c>
    </row>
    <row r="139" spans="3:8" x14ac:dyDescent="0.2">
      <c r="D139" s="32" t="s">
        <v>1224</v>
      </c>
    </row>
    <row r="140" spans="3:8" x14ac:dyDescent="0.2">
      <c r="D140" s="32" t="s">
        <v>1225</v>
      </c>
    </row>
    <row r="141" spans="3:8" x14ac:dyDescent="0.2">
      <c r="D141" s="32" t="s">
        <v>1226</v>
      </c>
    </row>
    <row r="142" spans="3:8" x14ac:dyDescent="0.2">
      <c r="D142" s="32" t="s">
        <v>1227</v>
      </c>
    </row>
    <row r="143" spans="3:8" x14ac:dyDescent="0.2">
      <c r="D143" s="32" t="s">
        <v>1228</v>
      </c>
    </row>
    <row r="144" spans="3:8" x14ac:dyDescent="0.2">
      <c r="C144" s="31" t="s">
        <v>1229</v>
      </c>
    </row>
    <row r="145" spans="3:7" x14ac:dyDescent="0.2">
      <c r="D145" s="32" t="s">
        <v>1230</v>
      </c>
    </row>
    <row r="146" spans="3:7" x14ac:dyDescent="0.2">
      <c r="D146" s="32" t="s">
        <v>1231</v>
      </c>
    </row>
    <row r="147" spans="3:7" x14ac:dyDescent="0.2">
      <c r="D147" s="32" t="s">
        <v>1232</v>
      </c>
    </row>
    <row r="148" spans="3:7" x14ac:dyDescent="0.2">
      <c r="D148" s="32" t="s">
        <v>1233</v>
      </c>
    </row>
    <row r="149" spans="3:7" x14ac:dyDescent="0.2">
      <c r="D149" s="32" t="s">
        <v>1234</v>
      </c>
    </row>
    <row r="150" spans="3:7" x14ac:dyDescent="0.2">
      <c r="D150" s="32" t="s">
        <v>1235</v>
      </c>
    </row>
    <row r="151" spans="3:7" x14ac:dyDescent="0.2">
      <c r="D151" s="32" t="s">
        <v>1236</v>
      </c>
    </row>
    <row r="152" spans="3:7" x14ac:dyDescent="0.2">
      <c r="C152" s="31" t="s">
        <v>1237</v>
      </c>
    </row>
    <row r="153" spans="3:7" x14ac:dyDescent="0.2">
      <c r="D153" s="32" t="s">
        <v>1238</v>
      </c>
    </row>
    <row r="154" spans="3:7" x14ac:dyDescent="0.2">
      <c r="D154" s="32" t="s">
        <v>1239</v>
      </c>
    </row>
    <row r="155" spans="3:7" x14ac:dyDescent="0.2">
      <c r="D155" s="32" t="s">
        <v>1240</v>
      </c>
    </row>
    <row r="156" spans="3:7" x14ac:dyDescent="0.2">
      <c r="D156" s="32" t="s">
        <v>1241</v>
      </c>
      <c r="E156" s="32"/>
      <c r="F156" s="32"/>
      <c r="G156" s="32"/>
    </row>
    <row r="157" spans="3:7" x14ac:dyDescent="0.2">
      <c r="D157" s="32" t="s">
        <v>1242</v>
      </c>
      <c r="E157" s="32"/>
      <c r="F157" s="32"/>
      <c r="G157" s="32"/>
    </row>
    <row r="158" spans="3:7" x14ac:dyDescent="0.2">
      <c r="D158" s="32" t="s">
        <v>1243</v>
      </c>
      <c r="E158" s="32"/>
      <c r="F158" s="32"/>
      <c r="G158" s="32"/>
    </row>
    <row r="159" spans="3:7" x14ac:dyDescent="0.2">
      <c r="D159" s="32" t="s">
        <v>1244</v>
      </c>
      <c r="E159" s="32"/>
      <c r="F159" s="32"/>
      <c r="G159" s="32"/>
    </row>
    <row r="160" spans="3:7" x14ac:dyDescent="0.2">
      <c r="D160" s="32" t="s">
        <v>1245</v>
      </c>
      <c r="E160" s="32"/>
      <c r="F160" s="32"/>
      <c r="G160" s="32"/>
    </row>
    <row r="161" spans="3:7" x14ac:dyDescent="0.2">
      <c r="D161" s="32" t="s">
        <v>1246</v>
      </c>
      <c r="E161" s="32"/>
      <c r="F161" s="32"/>
      <c r="G161" s="32"/>
    </row>
    <row r="162" spans="3:7" x14ac:dyDescent="0.2">
      <c r="D162" s="32" t="s">
        <v>1247</v>
      </c>
      <c r="E162" s="32"/>
      <c r="F162" s="32"/>
      <c r="G162" s="32"/>
    </row>
    <row r="163" spans="3:7" x14ac:dyDescent="0.2">
      <c r="D163" s="32" t="s">
        <v>1248</v>
      </c>
    </row>
    <row r="164" spans="3:7" x14ac:dyDescent="0.2">
      <c r="C164" s="31" t="s">
        <v>1249</v>
      </c>
    </row>
    <row r="165" spans="3:7" x14ac:dyDescent="0.2">
      <c r="D165" s="32" t="s">
        <v>1250</v>
      </c>
      <c r="E165" s="32"/>
      <c r="F165" s="32"/>
      <c r="G165" s="32"/>
    </row>
    <row r="166" spans="3:7" x14ac:dyDescent="0.2">
      <c r="D166" s="32">
        <v>3503</v>
      </c>
      <c r="E166" s="32" t="s">
        <v>1369</v>
      </c>
      <c r="F166" s="32"/>
      <c r="G166" s="32"/>
    </row>
    <row r="167" spans="3:7" x14ac:dyDescent="0.2">
      <c r="D167" s="32" t="s">
        <v>1251</v>
      </c>
      <c r="E167" s="32"/>
      <c r="F167" s="32"/>
      <c r="G167" s="32"/>
    </row>
    <row r="168" spans="3:7" x14ac:dyDescent="0.2">
      <c r="D168" s="31" t="s">
        <v>1252</v>
      </c>
    </row>
    <row r="169" spans="3:7" x14ac:dyDescent="0.2">
      <c r="D169" s="32" t="s">
        <v>1253</v>
      </c>
      <c r="E169" s="32"/>
      <c r="F169" s="32"/>
      <c r="G169" s="32"/>
    </row>
    <row r="170" spans="3:7" x14ac:dyDescent="0.2">
      <c r="D170" s="32" t="s">
        <v>1254</v>
      </c>
      <c r="E170" s="32"/>
      <c r="F170" s="32"/>
      <c r="G170" s="32"/>
    </row>
    <row r="171" spans="3:7" x14ac:dyDescent="0.2">
      <c r="D171" s="32" t="s">
        <v>1255</v>
      </c>
      <c r="E171" s="32"/>
      <c r="F171" s="32"/>
      <c r="G171" s="32"/>
    </row>
    <row r="172" spans="3:7" x14ac:dyDescent="0.2">
      <c r="D172" s="32" t="s">
        <v>1256</v>
      </c>
      <c r="E172" s="32"/>
      <c r="F172" s="32"/>
      <c r="G172" s="32"/>
    </row>
    <row r="173" spans="3:7" x14ac:dyDescent="0.2">
      <c r="D173" s="32" t="s">
        <v>1257</v>
      </c>
      <c r="E173" s="32"/>
      <c r="F173" s="32"/>
      <c r="G173" s="32"/>
    </row>
    <row r="174" spans="3:7" x14ac:dyDescent="0.2">
      <c r="D174" s="32" t="s">
        <v>1258</v>
      </c>
      <c r="E174" s="32"/>
      <c r="F174" s="32"/>
      <c r="G174" s="32"/>
    </row>
    <row r="175" spans="3:7" x14ac:dyDescent="0.2">
      <c r="D175" s="32" t="s">
        <v>1259</v>
      </c>
      <c r="E175" s="32"/>
      <c r="F175" s="32"/>
      <c r="G175" s="32"/>
    </row>
    <row r="176" spans="3:7" x14ac:dyDescent="0.2">
      <c r="D176" s="32" t="s">
        <v>1260</v>
      </c>
      <c r="E176" s="32"/>
      <c r="F176" s="32"/>
      <c r="G176" s="32"/>
    </row>
    <row r="177" spans="4:8" x14ac:dyDescent="0.2">
      <c r="D177" s="32" t="s">
        <v>1261</v>
      </c>
      <c r="E177" s="32"/>
      <c r="F177" s="32"/>
      <c r="G177" s="32"/>
    </row>
    <row r="178" spans="4:8" x14ac:dyDescent="0.2">
      <c r="D178" s="32" t="s">
        <v>1262</v>
      </c>
      <c r="E178" s="32"/>
      <c r="F178" s="32"/>
      <c r="G178" s="32"/>
    </row>
    <row r="179" spans="4:8" x14ac:dyDescent="0.2">
      <c r="D179" s="32" t="s">
        <v>1263</v>
      </c>
    </row>
    <row r="180" spans="4:8" x14ac:dyDescent="0.2">
      <c r="D180" s="32" t="s">
        <v>1264</v>
      </c>
      <c r="E180" s="32"/>
      <c r="F180" s="32"/>
      <c r="G180" s="32"/>
      <c r="H180" s="32"/>
    </row>
    <row r="181" spans="4:8" x14ac:dyDescent="0.2">
      <c r="D181" s="32" t="s">
        <v>1265</v>
      </c>
      <c r="H181" s="32"/>
    </row>
    <row r="182" spans="4:8" x14ac:dyDescent="0.2">
      <c r="D182" s="32" t="s">
        <v>1266</v>
      </c>
    </row>
    <row r="183" spans="4:8" x14ac:dyDescent="0.2">
      <c r="D183" s="32" t="s">
        <v>1267</v>
      </c>
      <c r="E183" s="32"/>
      <c r="F183" s="32"/>
      <c r="H183" s="32"/>
    </row>
    <row r="184" spans="4:8" x14ac:dyDescent="0.2">
      <c r="D184" s="32" t="s">
        <v>1268</v>
      </c>
      <c r="E184" s="32"/>
      <c r="F184" s="32"/>
      <c r="H184" s="32"/>
    </row>
    <row r="185" spans="4:8" x14ac:dyDescent="0.2">
      <c r="D185" s="32" t="s">
        <v>1269</v>
      </c>
      <c r="E185" s="32"/>
      <c r="F185" s="32"/>
      <c r="G185" s="32"/>
      <c r="H185" s="32"/>
    </row>
    <row r="186" spans="4:8" x14ac:dyDescent="0.2">
      <c r="D186" s="32" t="s">
        <v>1270</v>
      </c>
      <c r="E186" s="32"/>
      <c r="F186" s="32"/>
      <c r="G186" s="32"/>
      <c r="H186" s="32"/>
    </row>
    <row r="187" spans="4:8" x14ac:dyDescent="0.2">
      <c r="D187" s="32" t="s">
        <v>1271</v>
      </c>
      <c r="E187" s="32"/>
      <c r="F187" s="32"/>
    </row>
    <row r="188" spans="4:8" x14ac:dyDescent="0.2">
      <c r="D188" s="32" t="s">
        <v>1272</v>
      </c>
      <c r="E188" s="32"/>
      <c r="F188" s="32"/>
      <c r="G188" s="32"/>
    </row>
    <row r="189" spans="4:8" x14ac:dyDescent="0.2">
      <c r="D189" s="32" t="s">
        <v>1273</v>
      </c>
      <c r="E189" s="32"/>
      <c r="F189" s="32"/>
      <c r="G189" s="32"/>
    </row>
    <row r="190" spans="4:8" x14ac:dyDescent="0.2">
      <c r="D190" s="32" t="s">
        <v>1274</v>
      </c>
      <c r="E190" s="32"/>
      <c r="F190" s="32"/>
      <c r="G190" s="32"/>
    </row>
    <row r="191" spans="4:8" x14ac:dyDescent="0.2">
      <c r="D191" s="32" t="s">
        <v>1275</v>
      </c>
      <c r="E191" s="32"/>
      <c r="F191" s="32"/>
      <c r="G191" s="32"/>
    </row>
    <row r="192" spans="4:8" x14ac:dyDescent="0.2">
      <c r="D192" s="32" t="s">
        <v>1276</v>
      </c>
    </row>
    <row r="193" spans="3:7" x14ac:dyDescent="0.2">
      <c r="D193" s="32" t="s">
        <v>1277</v>
      </c>
    </row>
    <row r="194" spans="3:7" x14ac:dyDescent="0.2">
      <c r="D194" s="32" t="s">
        <v>1278</v>
      </c>
    </row>
    <row r="195" spans="3:7" x14ac:dyDescent="0.2">
      <c r="D195" s="32" t="s">
        <v>1279</v>
      </c>
    </row>
    <row r="196" spans="3:7" x14ac:dyDescent="0.2">
      <c r="D196" s="32" t="s">
        <v>1280</v>
      </c>
      <c r="E196" s="32"/>
      <c r="F196" s="32"/>
      <c r="G196" s="32"/>
    </row>
    <row r="197" spans="3:7" x14ac:dyDescent="0.2">
      <c r="D197" s="32" t="s">
        <v>1281</v>
      </c>
      <c r="E197" s="32"/>
      <c r="F197" s="32"/>
    </row>
    <row r="198" spans="3:7" x14ac:dyDescent="0.2">
      <c r="C198" s="31" t="s">
        <v>1282</v>
      </c>
      <c r="E198" s="32"/>
      <c r="F198" s="32"/>
    </row>
    <row r="199" spans="3:7" x14ac:dyDescent="0.2">
      <c r="D199" s="32" t="s">
        <v>1283</v>
      </c>
      <c r="E199" s="32"/>
      <c r="F199" s="32"/>
      <c r="G199" s="32"/>
    </row>
    <row r="200" spans="3:7" x14ac:dyDescent="0.2">
      <c r="D200" s="32" t="s">
        <v>1284</v>
      </c>
      <c r="E200" s="32"/>
      <c r="F200" s="32"/>
      <c r="G200" s="32"/>
    </row>
    <row r="201" spans="3:7" x14ac:dyDescent="0.2">
      <c r="D201" s="32" t="s">
        <v>1285</v>
      </c>
      <c r="E201" s="32"/>
      <c r="F201" s="32"/>
      <c r="G201" s="32"/>
    </row>
    <row r="202" spans="3:7" x14ac:dyDescent="0.2">
      <c r="D202" s="32" t="s">
        <v>1286</v>
      </c>
      <c r="E202" s="32"/>
      <c r="F202" s="32"/>
      <c r="G202" s="32"/>
    </row>
    <row r="203" spans="3:7" x14ac:dyDescent="0.2">
      <c r="C203" s="31" t="s">
        <v>1287</v>
      </c>
    </row>
    <row r="204" spans="3:7" x14ac:dyDescent="0.2">
      <c r="D204" s="32" t="s">
        <v>1288</v>
      </c>
    </row>
    <row r="205" spans="3:7" x14ac:dyDescent="0.2">
      <c r="D205" s="32" t="s">
        <v>1289</v>
      </c>
    </row>
    <row r="206" spans="3:7" x14ac:dyDescent="0.2">
      <c r="D206" s="32" t="s">
        <v>1290</v>
      </c>
    </row>
    <row r="207" spans="3:7" x14ac:dyDescent="0.2">
      <c r="D207" s="32" t="s">
        <v>1291</v>
      </c>
    </row>
    <row r="208" spans="3:7" x14ac:dyDescent="0.2">
      <c r="D208" s="32" t="s">
        <v>1292</v>
      </c>
    </row>
    <row r="211" spans="1:4" x14ac:dyDescent="0.2">
      <c r="A211" s="31" t="s">
        <v>1402</v>
      </c>
    </row>
    <row r="212" spans="1:4" x14ac:dyDescent="0.2">
      <c r="C212" s="32" t="s">
        <v>1138</v>
      </c>
    </row>
    <row r="213" spans="1:4" x14ac:dyDescent="0.2">
      <c r="D213" s="32" t="s">
        <v>1293</v>
      </c>
    </row>
    <row r="214" spans="1:4" x14ac:dyDescent="0.2">
      <c r="D214" s="32" t="s">
        <v>1294</v>
      </c>
    </row>
    <row r="215" spans="1:4" x14ac:dyDescent="0.2">
      <c r="D215" s="32" t="s">
        <v>1295</v>
      </c>
    </row>
    <row r="216" spans="1:4" x14ac:dyDescent="0.2">
      <c r="D216" s="32" t="s">
        <v>1296</v>
      </c>
    </row>
    <row r="217" spans="1:4" x14ac:dyDescent="0.2">
      <c r="D217" s="32" t="s">
        <v>1297</v>
      </c>
    </row>
    <row r="218" spans="1:4" x14ac:dyDescent="0.2">
      <c r="D218" s="32" t="s">
        <v>1298</v>
      </c>
    </row>
    <row r="220" spans="1:4" x14ac:dyDescent="0.2">
      <c r="A220" s="31" t="s">
        <v>93</v>
      </c>
    </row>
    <row r="221" spans="1:4" x14ac:dyDescent="0.2">
      <c r="C221" s="31" t="s">
        <v>1299</v>
      </c>
    </row>
    <row r="222" spans="1:4" x14ac:dyDescent="0.2">
      <c r="C222" s="31" t="s">
        <v>434</v>
      </c>
      <c r="D222" s="31" t="s">
        <v>435</v>
      </c>
    </row>
    <row r="223" spans="1:4" x14ac:dyDescent="0.2">
      <c r="D223" s="32" t="s">
        <v>1300</v>
      </c>
    </row>
    <row r="224" spans="1:4" x14ac:dyDescent="0.2">
      <c r="D224" s="32" t="s">
        <v>1301</v>
      </c>
    </row>
    <row r="225" spans="3:8" x14ac:dyDescent="0.2">
      <c r="D225" s="32" t="s">
        <v>1302</v>
      </c>
    </row>
    <row r="226" spans="3:8" x14ac:dyDescent="0.2">
      <c r="D226" s="32" t="s">
        <v>1303</v>
      </c>
    </row>
    <row r="227" spans="3:8" x14ac:dyDescent="0.2">
      <c r="D227" s="32" t="s">
        <v>1304</v>
      </c>
      <c r="H227" s="32"/>
    </row>
    <row r="228" spans="3:8" x14ac:dyDescent="0.2">
      <c r="C228" s="31" t="s">
        <v>1305</v>
      </c>
    </row>
    <row r="229" spans="3:8" x14ac:dyDescent="0.2">
      <c r="D229" s="32" t="s">
        <v>1306</v>
      </c>
      <c r="H229" s="32"/>
    </row>
    <row r="230" spans="3:8" x14ac:dyDescent="0.2">
      <c r="C230" s="31" t="s">
        <v>1307</v>
      </c>
    </row>
    <row r="231" spans="3:8" x14ac:dyDescent="0.2">
      <c r="D231" s="32" t="s">
        <v>1308</v>
      </c>
    </row>
    <row r="232" spans="3:8" x14ac:dyDescent="0.2">
      <c r="D232" s="32" t="s">
        <v>1309</v>
      </c>
    </row>
    <row r="233" spans="3:8" x14ac:dyDescent="0.2">
      <c r="D233" s="32" t="s">
        <v>1310</v>
      </c>
      <c r="E233" s="32"/>
      <c r="F233" s="32"/>
      <c r="G233" s="32"/>
    </row>
    <row r="234" spans="3:8" x14ac:dyDescent="0.2">
      <c r="D234" s="32" t="s">
        <v>1311</v>
      </c>
    </row>
    <row r="235" spans="3:8" x14ac:dyDescent="0.2">
      <c r="D235" s="32" t="s">
        <v>1312</v>
      </c>
      <c r="E235" s="32"/>
      <c r="F235" s="32"/>
      <c r="G235" s="32"/>
    </row>
    <row r="236" spans="3:8" x14ac:dyDescent="0.2">
      <c r="D236" s="32" t="s">
        <v>1313</v>
      </c>
      <c r="E236" s="32"/>
      <c r="F236" s="32"/>
      <c r="G236" s="32"/>
    </row>
    <row r="237" spans="3:8" x14ac:dyDescent="0.2">
      <c r="D237" s="32" t="s">
        <v>1314</v>
      </c>
      <c r="E237" s="32"/>
      <c r="F237" s="32"/>
      <c r="G237" s="32"/>
    </row>
    <row r="238" spans="3:8" x14ac:dyDescent="0.2">
      <c r="D238" s="32" t="s">
        <v>1315</v>
      </c>
      <c r="E238" s="32"/>
      <c r="F238" s="32"/>
      <c r="G238" s="32"/>
    </row>
    <row r="239" spans="3:8" x14ac:dyDescent="0.2">
      <c r="D239" s="32" t="s">
        <v>1316</v>
      </c>
    </row>
    <row r="240" spans="3:8" x14ac:dyDescent="0.2">
      <c r="C240" s="31" t="s">
        <v>1317</v>
      </c>
    </row>
    <row r="241" spans="3:7" x14ac:dyDescent="0.2">
      <c r="D241" s="32" t="s">
        <v>1318</v>
      </c>
    </row>
    <row r="242" spans="3:7" x14ac:dyDescent="0.2">
      <c r="D242" s="32" t="s">
        <v>1319</v>
      </c>
      <c r="E242" s="32"/>
      <c r="F242" s="32"/>
      <c r="G242" s="32"/>
    </row>
    <row r="243" spans="3:7" x14ac:dyDescent="0.2">
      <c r="D243" s="32" t="s">
        <v>1320</v>
      </c>
    </row>
    <row r="244" spans="3:7" x14ac:dyDescent="0.2">
      <c r="C244" s="31" t="s">
        <v>1321</v>
      </c>
    </row>
    <row r="245" spans="3:7" x14ac:dyDescent="0.2">
      <c r="D245" s="32" t="s">
        <v>1322</v>
      </c>
    </row>
    <row r="246" spans="3:7" x14ac:dyDescent="0.2">
      <c r="D246" s="32" t="s">
        <v>1323</v>
      </c>
    </row>
    <row r="247" spans="3:7" x14ac:dyDescent="0.2">
      <c r="D247" s="32" t="s">
        <v>1324</v>
      </c>
    </row>
    <row r="248" spans="3:7" x14ac:dyDescent="0.2">
      <c r="C248" s="31" t="s">
        <v>1325</v>
      </c>
    </row>
    <row r="249" spans="3:7" x14ac:dyDescent="0.2">
      <c r="D249" s="32" t="s">
        <v>1326</v>
      </c>
    </row>
    <row r="250" spans="3:7" x14ac:dyDescent="0.2">
      <c r="D250" s="31" t="s">
        <v>1327</v>
      </c>
      <c r="E250" s="31" t="s">
        <v>1328</v>
      </c>
    </row>
    <row r="251" spans="3:7" x14ac:dyDescent="0.2">
      <c r="D251" s="32" t="s">
        <v>1329</v>
      </c>
    </row>
    <row r="252" spans="3:7" x14ac:dyDescent="0.2">
      <c r="D252" s="32" t="s">
        <v>1330</v>
      </c>
    </row>
    <row r="253" spans="3:7" x14ac:dyDescent="0.2">
      <c r="D253" s="32" t="s">
        <v>1331</v>
      </c>
      <c r="E253" s="32"/>
      <c r="F253" s="32"/>
      <c r="G253" s="32"/>
    </row>
    <row r="254" spans="3:7" x14ac:dyDescent="0.2">
      <c r="D254" s="32" t="s">
        <v>1332</v>
      </c>
      <c r="E254" s="32"/>
      <c r="F254" s="32"/>
      <c r="G254" s="32"/>
    </row>
    <row r="255" spans="3:7" x14ac:dyDescent="0.2">
      <c r="D255" s="32" t="s">
        <v>1333</v>
      </c>
      <c r="E255" s="32"/>
      <c r="F255" s="32"/>
      <c r="G255" s="32"/>
    </row>
    <row r="256" spans="3:7" x14ac:dyDescent="0.2">
      <c r="D256" s="32" t="s">
        <v>1334</v>
      </c>
      <c r="E256" s="32"/>
      <c r="F256" s="32"/>
      <c r="G256" s="32"/>
    </row>
    <row r="257" spans="3:15" x14ac:dyDescent="0.2">
      <c r="D257" s="32" t="s">
        <v>1335</v>
      </c>
      <c r="E257" s="32"/>
      <c r="F257" s="32"/>
      <c r="G257" s="32"/>
    </row>
    <row r="258" spans="3:15" x14ac:dyDescent="0.2">
      <c r="C258" s="31" t="s">
        <v>1336</v>
      </c>
    </row>
    <row r="259" spans="3:15" x14ac:dyDescent="0.2">
      <c r="D259" s="32" t="s">
        <v>1337</v>
      </c>
    </row>
    <row r="260" spans="3:15" x14ac:dyDescent="0.2">
      <c r="D260" s="32" t="s">
        <v>1338</v>
      </c>
    </row>
    <row r="261" spans="3:15" x14ac:dyDescent="0.2">
      <c r="D261" s="32" t="s">
        <v>1339</v>
      </c>
    </row>
    <row r="262" spans="3:15" x14ac:dyDescent="0.2">
      <c r="D262" s="32" t="s">
        <v>1340</v>
      </c>
    </row>
    <row r="263" spans="3:15" x14ac:dyDescent="0.2">
      <c r="D263" s="32" t="s">
        <v>1341</v>
      </c>
    </row>
    <row r="264" spans="3:15" x14ac:dyDescent="0.2">
      <c r="D264" s="31" t="s">
        <v>1342</v>
      </c>
      <c r="E264" s="31" t="s">
        <v>1343</v>
      </c>
    </row>
    <row r="265" spans="3:15" x14ac:dyDescent="0.2">
      <c r="D265" s="32" t="s">
        <v>1344</v>
      </c>
    </row>
    <row r="266" spans="3:15" x14ac:dyDescent="0.2">
      <c r="D266" s="32" t="s">
        <v>1345</v>
      </c>
    </row>
    <row r="267" spans="3:15" x14ac:dyDescent="0.2">
      <c r="D267" s="32" t="s">
        <v>1346</v>
      </c>
    </row>
    <row r="268" spans="3:15" x14ac:dyDescent="0.2">
      <c r="D268" s="32" t="s">
        <v>1347</v>
      </c>
    </row>
    <row r="269" spans="3:15" x14ac:dyDescent="0.2">
      <c r="D269" s="32">
        <v>4979</v>
      </c>
      <c r="E269" s="31" t="s">
        <v>1373</v>
      </c>
    </row>
    <row r="270" spans="3:15" x14ac:dyDescent="0.2">
      <c r="D270" s="32" t="s">
        <v>1348</v>
      </c>
      <c r="O270" s="32"/>
    </row>
    <row r="271" spans="3:15" x14ac:dyDescent="0.2">
      <c r="D271" s="32" t="s">
        <v>1349</v>
      </c>
    </row>
    <row r="272" spans="3:15" x14ac:dyDescent="0.2">
      <c r="D272" s="32" t="s">
        <v>1350</v>
      </c>
    </row>
    <row r="273" spans="1:7" x14ac:dyDescent="0.2">
      <c r="D273" s="32" t="s">
        <v>1351</v>
      </c>
    </row>
    <row r="274" spans="1:7" x14ac:dyDescent="0.2">
      <c r="D274" s="32" t="s">
        <v>1352</v>
      </c>
    </row>
    <row r="281" spans="1:7" x14ac:dyDescent="0.2">
      <c r="A281" s="35"/>
      <c r="B281" s="35"/>
      <c r="C281" s="35"/>
      <c r="D281" s="35"/>
      <c r="E281" s="35"/>
      <c r="F281" s="35"/>
      <c r="G281" s="35"/>
    </row>
    <row r="282" spans="1:7" x14ac:dyDescent="0.2">
      <c r="A282" s="35"/>
      <c r="B282" s="35"/>
      <c r="C282" s="35"/>
      <c r="D282" s="35"/>
      <c r="E282" s="35"/>
      <c r="F282" s="35"/>
      <c r="G282" s="35"/>
    </row>
    <row r="283" spans="1:7" x14ac:dyDescent="0.2">
      <c r="A283" s="35"/>
      <c r="B283" s="35"/>
      <c r="C283" s="35"/>
      <c r="D283" s="35"/>
      <c r="E283" s="35"/>
      <c r="F283" s="35"/>
      <c r="G283" s="35"/>
    </row>
  </sheetData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3130-9584-4F81-AE84-F9064784F514}">
  <dimension ref="A1:G91"/>
  <sheetViews>
    <sheetView workbookViewId="0">
      <selection activeCell="J14" sqref="J14"/>
    </sheetView>
  </sheetViews>
  <sheetFormatPr defaultRowHeight="15" x14ac:dyDescent="0.25"/>
  <cols>
    <col min="1" max="1" width="26.5703125" style="1" bestFit="1" customWidth="1"/>
    <col min="2" max="4" width="26.5703125" style="16" customWidth="1"/>
    <col min="5" max="6" width="19.140625" style="1" hidden="1" customWidth="1"/>
    <col min="7" max="7" width="32.140625" style="1" hidden="1" customWidth="1"/>
    <col min="8" max="16384" width="9.140625" style="1"/>
  </cols>
  <sheetData>
    <row r="1" spans="1:7" ht="12.75" x14ac:dyDescent="0.2">
      <c r="A1" s="75" t="s">
        <v>838</v>
      </c>
      <c r="B1" s="75"/>
      <c r="C1" s="75"/>
      <c r="D1" s="75"/>
      <c r="E1" s="75"/>
      <c r="F1" s="75"/>
      <c r="G1" s="75"/>
    </row>
    <row r="2" spans="1:7" ht="12.75" x14ac:dyDescent="0.2">
      <c r="A2" s="75" t="s">
        <v>839</v>
      </c>
      <c r="B2" s="75"/>
      <c r="C2" s="75"/>
      <c r="D2" s="75"/>
      <c r="E2" s="75"/>
      <c r="F2" s="75"/>
      <c r="G2" s="75"/>
    </row>
    <row r="3" spans="1:7" x14ac:dyDescent="0.25">
      <c r="B3" s="2"/>
      <c r="C3" s="2"/>
      <c r="D3" s="2"/>
    </row>
    <row r="4" spans="1:7" x14ac:dyDescent="0.25">
      <c r="B4" s="2"/>
      <c r="C4" s="2"/>
      <c r="D4" s="2"/>
    </row>
    <row r="5" spans="1:7" ht="12.75" x14ac:dyDescent="0.2">
      <c r="A5" s="3" t="s">
        <v>993</v>
      </c>
      <c r="B5" s="4"/>
      <c r="C5" s="4"/>
      <c r="D5" s="4"/>
    </row>
    <row r="6" spans="1:7" x14ac:dyDescent="0.25">
      <c r="A6" s="1" t="s">
        <v>840</v>
      </c>
      <c r="B6" s="2"/>
      <c r="C6" s="2"/>
      <c r="D6" s="2"/>
    </row>
    <row r="9" spans="1:7" s="8" customFormat="1" ht="38.25" x14ac:dyDescent="0.2">
      <c r="A9" s="5" t="s">
        <v>841</v>
      </c>
      <c r="B9" s="6" t="s">
        <v>1376</v>
      </c>
      <c r="C9" s="6" t="s">
        <v>1377</v>
      </c>
      <c r="D9" s="6" t="s">
        <v>842</v>
      </c>
      <c r="E9" s="7" t="s">
        <v>843</v>
      </c>
      <c r="F9" s="7" t="s">
        <v>844</v>
      </c>
      <c r="G9" s="7" t="s">
        <v>842</v>
      </c>
    </row>
    <row r="10" spans="1:7" x14ac:dyDescent="0.25">
      <c r="A10" s="9" t="s">
        <v>845</v>
      </c>
      <c r="B10" s="10">
        <f>'[1]LEA Unrestricted FB Test'!AL11</f>
        <v>10135022</v>
      </c>
      <c r="C10" s="10">
        <v>10133602</v>
      </c>
      <c r="D10" s="10">
        <f>'[1]LEA Unrestricted FB Test'!AS11</f>
        <v>2376054.3229499999</v>
      </c>
      <c r="E10" s="11">
        <v>7996043</v>
      </c>
      <c r="F10" s="12">
        <v>7360172</v>
      </c>
      <c r="G10" s="13">
        <v>2131858.2488000002</v>
      </c>
    </row>
    <row r="11" spans="1:7" x14ac:dyDescent="0.25">
      <c r="A11" s="9" t="s">
        <v>846</v>
      </c>
      <c r="B11" s="10">
        <f>'[1]LEA Unrestricted FB Test'!AL12</f>
        <v>81002304</v>
      </c>
      <c r="C11" s="10">
        <v>69966999</v>
      </c>
      <c r="D11" s="10">
        <f>'[1]LEA Unrestricted FB Test'!AS12</f>
        <v>17735043.976999998</v>
      </c>
      <c r="E11" s="11">
        <v>56712004</v>
      </c>
      <c r="F11" s="12">
        <v>52969364</v>
      </c>
      <c r="G11" s="13">
        <v>16249093.345100001</v>
      </c>
    </row>
    <row r="12" spans="1:7" x14ac:dyDescent="0.25">
      <c r="A12" s="9" t="s">
        <v>847</v>
      </c>
      <c r="B12" s="10">
        <f>'[1]LEA Unrestricted FB Test'!AL13</f>
        <v>13376010</v>
      </c>
      <c r="C12" s="10">
        <v>12258063</v>
      </c>
      <c r="D12" s="10">
        <f>'[1]LEA Unrestricted FB Test'!AS13</f>
        <v>1032738.3227</v>
      </c>
      <c r="E12" s="11">
        <v>7229286</v>
      </c>
      <c r="F12" s="12">
        <v>7229286</v>
      </c>
      <c r="G12" s="13">
        <v>1037389.2949</v>
      </c>
    </row>
    <row r="13" spans="1:7" x14ac:dyDescent="0.25">
      <c r="A13" s="9" t="s">
        <v>848</v>
      </c>
      <c r="B13" s="10">
        <f>'[1]LEA Unrestricted FB Test'!AL14</f>
        <v>29878073</v>
      </c>
      <c r="C13" s="10">
        <v>28806695</v>
      </c>
      <c r="D13" s="10">
        <f>'[1]LEA Unrestricted FB Test'!AS14</f>
        <v>7294975.4671499999</v>
      </c>
      <c r="E13" s="11">
        <v>21923103</v>
      </c>
      <c r="F13" s="12">
        <v>20862134</v>
      </c>
      <c r="G13" s="13">
        <v>6251628.5562500004</v>
      </c>
    </row>
    <row r="14" spans="1:7" x14ac:dyDescent="0.25">
      <c r="A14" s="9" t="s">
        <v>849</v>
      </c>
      <c r="B14" s="10">
        <f>'[1]LEA Unrestricted FB Test'!AL15</f>
        <v>12137466</v>
      </c>
      <c r="C14" s="10">
        <v>11337009</v>
      </c>
      <c r="D14" s="10">
        <f>'[1]LEA Unrestricted FB Test'!AS15</f>
        <v>2593899.8582000001</v>
      </c>
      <c r="E14" s="11">
        <v>7515703</v>
      </c>
      <c r="F14" s="12">
        <v>6242650</v>
      </c>
      <c r="G14" s="13">
        <v>2453886.8857999998</v>
      </c>
    </row>
    <row r="15" spans="1:7" x14ac:dyDescent="0.25">
      <c r="A15" s="9" t="s">
        <v>850</v>
      </c>
      <c r="B15" s="10">
        <f>'[1]LEA Unrestricted FB Test'!AL16</f>
        <v>7879968</v>
      </c>
      <c r="C15" s="10">
        <v>7879968</v>
      </c>
      <c r="D15" s="10">
        <f>'[1]LEA Unrestricted FB Test'!AS16</f>
        <v>2067463.22545</v>
      </c>
      <c r="E15" s="11">
        <v>5345219</v>
      </c>
      <c r="F15" s="12">
        <v>5345219</v>
      </c>
      <c r="G15" s="13">
        <v>1797452.9811</v>
      </c>
    </row>
    <row r="16" spans="1:7" x14ac:dyDescent="0.25">
      <c r="A16" s="9" t="s">
        <v>851</v>
      </c>
      <c r="B16" s="10">
        <f>'[1]LEA Unrestricted FB Test'!AL17</f>
        <v>9525490</v>
      </c>
      <c r="C16" s="10">
        <v>9197373</v>
      </c>
      <c r="D16" s="10">
        <f>'[1]LEA Unrestricted FB Test'!AS17</f>
        <v>2715169.5392499999</v>
      </c>
      <c r="E16" s="11">
        <v>7727710</v>
      </c>
      <c r="F16" s="12">
        <v>7031478</v>
      </c>
      <c r="G16" s="13">
        <v>2382948.5225</v>
      </c>
    </row>
    <row r="17" spans="1:7" x14ac:dyDescent="0.25">
      <c r="A17" s="9" t="s">
        <v>852</v>
      </c>
      <c r="B17" s="10">
        <f>'[1]LEA Unrestricted FB Test'!AL18</f>
        <v>41867105</v>
      </c>
      <c r="C17" s="10">
        <v>41592246</v>
      </c>
      <c r="D17" s="10">
        <f>'[1]LEA Unrestricted FB Test'!AS18</f>
        <v>10381659.2579</v>
      </c>
      <c r="E17" s="11">
        <v>34530971</v>
      </c>
      <c r="F17" s="12">
        <v>34265566</v>
      </c>
      <c r="G17" s="13">
        <v>9193069.9671999998</v>
      </c>
    </row>
    <row r="18" spans="1:7" x14ac:dyDescent="0.25">
      <c r="A18" s="14" t="s">
        <v>1378</v>
      </c>
      <c r="B18" s="10">
        <f>'[1]LEA Unrestricted FB Test'!AL21</f>
        <v>8934246</v>
      </c>
      <c r="C18" s="72">
        <v>8928510</v>
      </c>
      <c r="D18" s="10">
        <f>'[1]LEA Unrestricted FB Test'!AS21</f>
        <v>1707312.1768499999</v>
      </c>
      <c r="E18" s="11">
        <v>981358</v>
      </c>
      <c r="F18" s="12">
        <v>978143</v>
      </c>
      <c r="G18" s="13">
        <v>1050228.9069999999</v>
      </c>
    </row>
    <row r="19" spans="1:7" x14ac:dyDescent="0.25">
      <c r="A19" s="14" t="s">
        <v>11</v>
      </c>
      <c r="B19" s="10">
        <f>'[1]LEA Unrestricted FB Test'!AL24</f>
        <v>9767875</v>
      </c>
      <c r="C19" s="72">
        <v>9767875</v>
      </c>
      <c r="D19" s="10">
        <f>'[1]LEA Unrestricted FB Test'!AS24</f>
        <v>1048494.1845</v>
      </c>
      <c r="E19" s="11"/>
      <c r="F19" s="12"/>
      <c r="G19" s="13"/>
    </row>
    <row r="20" spans="1:7" x14ac:dyDescent="0.25">
      <c r="A20" s="14" t="s">
        <v>10</v>
      </c>
      <c r="B20" s="10">
        <f>'[1]LEA Unrestricted FB Test'!AL25</f>
        <v>7577798</v>
      </c>
      <c r="C20" s="72">
        <v>7557853</v>
      </c>
      <c r="D20" s="10">
        <f>'[1]LEA Unrestricted FB Test'!AS25</f>
        <v>1657223.3454</v>
      </c>
      <c r="E20" s="11">
        <v>5164153</v>
      </c>
      <c r="F20" s="12">
        <v>5097081</v>
      </c>
      <c r="G20" s="13">
        <v>1492258.1912</v>
      </c>
    </row>
    <row r="21" spans="1:7" x14ac:dyDescent="0.25">
      <c r="A21" s="14" t="s">
        <v>853</v>
      </c>
      <c r="B21" s="10">
        <f>'[1]LEA Unrestricted FB Test'!AL26</f>
        <v>64288861</v>
      </c>
      <c r="C21" s="72">
        <v>61831155</v>
      </c>
      <c r="D21" s="10">
        <f>'[1]LEA Unrestricted FB Test'!AS26</f>
        <v>23010725.359999999</v>
      </c>
      <c r="E21" s="11">
        <v>44777803</v>
      </c>
      <c r="F21" s="12">
        <v>44742602</v>
      </c>
      <c r="G21" s="13">
        <v>19386070.010650001</v>
      </c>
    </row>
    <row r="22" spans="1:7" x14ac:dyDescent="0.25">
      <c r="A22" s="14" t="s">
        <v>854</v>
      </c>
      <c r="B22" s="10">
        <f>'[1]LEA Unrestricted FB Test'!AL27</f>
        <v>131642480</v>
      </c>
      <c r="C22" s="72">
        <v>123438191</v>
      </c>
      <c r="D22" s="10">
        <f>'[1]LEA Unrestricted FB Test'!AS27</f>
        <v>29965913.088300001</v>
      </c>
      <c r="E22" s="11">
        <v>91265568</v>
      </c>
      <c r="F22" s="12">
        <v>89878431</v>
      </c>
      <c r="G22" s="13">
        <v>24816816.884300001</v>
      </c>
    </row>
    <row r="23" spans="1:7" x14ac:dyDescent="0.25">
      <c r="A23" s="14" t="s">
        <v>855</v>
      </c>
      <c r="B23" s="10">
        <f>'[1]LEA Unrestricted FB Test'!AL28</f>
        <v>9548915</v>
      </c>
      <c r="C23" s="72">
        <v>9545413</v>
      </c>
      <c r="D23" s="10">
        <f>'[1]LEA Unrestricted FB Test'!AS28</f>
        <v>1416091.2534999999</v>
      </c>
      <c r="E23" s="11">
        <v>5024996</v>
      </c>
      <c r="F23" s="12">
        <v>4446937</v>
      </c>
      <c r="G23" s="13">
        <v>1393123.65255</v>
      </c>
    </row>
    <row r="24" spans="1:7" x14ac:dyDescent="0.25">
      <c r="A24" s="14" t="s">
        <v>856</v>
      </c>
      <c r="B24" s="10">
        <f>'[1]LEA Unrestricted FB Test'!AL29</f>
        <v>186281795</v>
      </c>
      <c r="C24" s="72">
        <v>44487010</v>
      </c>
      <c r="D24" s="10">
        <f>'[1]LEA Unrestricted FB Test'!AS29</f>
        <v>45127180.862750001</v>
      </c>
      <c r="E24" s="11">
        <v>145215296</v>
      </c>
      <c r="F24" s="12">
        <v>63608098</v>
      </c>
      <c r="G24" s="13">
        <v>37071217.45425</v>
      </c>
    </row>
    <row r="25" spans="1:7" x14ac:dyDescent="0.25">
      <c r="A25" s="14" t="s">
        <v>857</v>
      </c>
      <c r="B25" s="10">
        <f>'[1]LEA Unrestricted FB Test'!AL30</f>
        <v>33845433</v>
      </c>
      <c r="C25" s="72">
        <v>33402944</v>
      </c>
      <c r="D25" s="10">
        <f>'[1]LEA Unrestricted FB Test'!AS30</f>
        <v>6513616.05265</v>
      </c>
      <c r="E25" s="11">
        <v>19018536</v>
      </c>
      <c r="F25" s="12">
        <v>18628643</v>
      </c>
      <c r="G25" s="13">
        <v>6297183.2437500004</v>
      </c>
    </row>
    <row r="26" spans="1:7" x14ac:dyDescent="0.25">
      <c r="A26" s="14" t="s">
        <v>858</v>
      </c>
      <c r="B26" s="10">
        <f>'[1]LEA Unrestricted FB Test'!AL31</f>
        <v>21634311</v>
      </c>
      <c r="C26" s="72">
        <v>20012633</v>
      </c>
      <c r="D26" s="10">
        <f>'[1]LEA Unrestricted FB Test'!AS31</f>
        <v>3941896.8186499998</v>
      </c>
      <c r="E26" s="11">
        <v>13601008</v>
      </c>
      <c r="F26" s="12">
        <v>13201008</v>
      </c>
      <c r="G26" s="13">
        <v>3616371.1227000002</v>
      </c>
    </row>
    <row r="27" spans="1:7" x14ac:dyDescent="0.25">
      <c r="A27" s="14" t="s">
        <v>859</v>
      </c>
      <c r="B27" s="10">
        <f>'[1]LEA Unrestricted FB Test'!AL32</f>
        <v>13351354</v>
      </c>
      <c r="C27" s="72">
        <v>10732994</v>
      </c>
      <c r="D27" s="10">
        <f>'[1]LEA Unrestricted FB Test'!AS32</f>
        <v>5514186.1096000001</v>
      </c>
      <c r="E27" s="11">
        <v>9180951</v>
      </c>
      <c r="F27" s="12">
        <v>8558336</v>
      </c>
      <c r="G27" s="13">
        <v>4941023.00825</v>
      </c>
    </row>
    <row r="28" spans="1:7" hidden="1" x14ac:dyDescent="0.25">
      <c r="A28" s="14" t="s">
        <v>860</v>
      </c>
      <c r="B28" s="10">
        <f>'[1]LEA Unrestricted FB Test'!AL33</f>
        <v>0</v>
      </c>
      <c r="C28" s="72"/>
      <c r="D28" s="10">
        <f>'[1]LEA Unrestricted FB Test'!AS33</f>
        <v>0</v>
      </c>
      <c r="E28" s="11">
        <v>-105129</v>
      </c>
      <c r="F28" s="12">
        <v>-105129</v>
      </c>
      <c r="G28" s="13">
        <v>353177.96395</v>
      </c>
    </row>
    <row r="29" spans="1:7" hidden="1" x14ac:dyDescent="0.25">
      <c r="A29" s="14" t="s">
        <v>861</v>
      </c>
      <c r="B29" s="10">
        <f>'[1]LEA Unrestricted FB Test'!AL34</f>
        <v>0</v>
      </c>
      <c r="C29" s="72"/>
      <c r="D29" s="10">
        <f>'[1]LEA Unrestricted FB Test'!AS34</f>
        <v>892676.82805000001</v>
      </c>
      <c r="E29" s="11">
        <v>5392246</v>
      </c>
      <c r="F29" s="12">
        <v>2752430</v>
      </c>
      <c r="G29" s="13">
        <v>1874214.8057500001</v>
      </c>
    </row>
    <row r="30" spans="1:7" hidden="1" x14ac:dyDescent="0.25">
      <c r="A30" s="14" t="s">
        <v>862</v>
      </c>
      <c r="B30" s="10">
        <f>'[1]LEA Unrestricted FB Test'!AL35</f>
        <v>0</v>
      </c>
      <c r="C30" s="72"/>
      <c r="D30" s="10">
        <f>'[1]LEA Unrestricted FB Test'!AS35</f>
        <v>0</v>
      </c>
      <c r="E30" s="11">
        <v>2341194</v>
      </c>
      <c r="F30" s="12">
        <v>2341194</v>
      </c>
      <c r="G30" s="13">
        <v>781759.08790000004</v>
      </c>
    </row>
    <row r="31" spans="1:7" hidden="1" x14ac:dyDescent="0.25">
      <c r="A31" s="14" t="s">
        <v>994</v>
      </c>
      <c r="B31" s="10">
        <f>'[1]LEA Unrestricted FB Test'!AL36</f>
        <v>0</v>
      </c>
      <c r="C31" s="72"/>
      <c r="D31" s="10">
        <f>'[1]LEA Unrestricted FB Test'!AS36</f>
        <v>0</v>
      </c>
      <c r="E31" s="11"/>
      <c r="F31" s="12"/>
      <c r="G31" s="13"/>
    </row>
    <row r="32" spans="1:7" x14ac:dyDescent="0.25">
      <c r="A32" s="14" t="s">
        <v>1379</v>
      </c>
      <c r="B32" s="10">
        <f>'[1]LEA Unrestricted FB Test'!AL37</f>
        <v>0</v>
      </c>
      <c r="C32" s="72"/>
      <c r="D32" s="10">
        <f>'[1]LEA Unrestricted FB Test'!AS37</f>
        <v>0</v>
      </c>
      <c r="E32" s="11"/>
      <c r="F32" s="12"/>
      <c r="G32" s="13"/>
    </row>
    <row r="33" spans="1:7" x14ac:dyDescent="0.25">
      <c r="A33" s="14" t="s">
        <v>863</v>
      </c>
      <c r="B33" s="10">
        <f>'[1]LEA Unrestricted FB Test'!AL38</f>
        <v>18009096</v>
      </c>
      <c r="C33" s="72">
        <v>18009096</v>
      </c>
      <c r="D33" s="10">
        <f>'[1]LEA Unrestricted FB Test'!AS38</f>
        <v>3799877.7323500002</v>
      </c>
      <c r="E33" s="11">
        <v>5314379</v>
      </c>
      <c r="F33" s="12">
        <v>5314379</v>
      </c>
      <c r="G33" s="13">
        <v>3727307.6469999999</v>
      </c>
    </row>
    <row r="34" spans="1:7" x14ac:dyDescent="0.25">
      <c r="A34" s="14" t="s">
        <v>864</v>
      </c>
      <c r="B34" s="10">
        <f>'[1]LEA Unrestricted FB Test'!AL39</f>
        <v>30983001</v>
      </c>
      <c r="C34" s="72">
        <v>30736932</v>
      </c>
      <c r="D34" s="10">
        <f>'[1]LEA Unrestricted FB Test'!AS39</f>
        <v>8776160.7142999992</v>
      </c>
      <c r="E34" s="11">
        <v>42756455</v>
      </c>
      <c r="F34" s="12">
        <v>42558892</v>
      </c>
      <c r="G34" s="13">
        <v>7435184.6526999995</v>
      </c>
    </row>
    <row r="35" spans="1:7" x14ac:dyDescent="0.25">
      <c r="A35" s="14" t="s">
        <v>865</v>
      </c>
      <c r="B35" s="10">
        <f>'[1]LEA Unrestricted FB Test'!AL40</f>
        <v>2892453</v>
      </c>
      <c r="C35" s="72">
        <v>2892453</v>
      </c>
      <c r="D35" s="10">
        <f>'[1]LEA Unrestricted FB Test'!AS40</f>
        <v>923815.326</v>
      </c>
      <c r="E35" s="11">
        <v>1567397</v>
      </c>
      <c r="F35" s="12">
        <v>1567397</v>
      </c>
      <c r="G35" s="13">
        <v>869585.73485000001</v>
      </c>
    </row>
    <row r="36" spans="1:7" x14ac:dyDescent="0.25">
      <c r="A36" s="14" t="s">
        <v>866</v>
      </c>
      <c r="B36" s="10">
        <f>'[1]LEA Unrestricted FB Test'!AL41</f>
        <v>10154219</v>
      </c>
      <c r="C36" s="72">
        <v>10154219</v>
      </c>
      <c r="D36" s="10">
        <f>'[1]LEA Unrestricted FB Test'!AS41</f>
        <v>2510020.2984500001</v>
      </c>
      <c r="E36" s="11">
        <v>5753344</v>
      </c>
      <c r="F36" s="12">
        <v>5753344</v>
      </c>
      <c r="G36" s="13">
        <v>2416506.6771999998</v>
      </c>
    </row>
    <row r="37" spans="1:7" x14ac:dyDescent="0.25">
      <c r="A37" s="14" t="s">
        <v>867</v>
      </c>
      <c r="B37" s="10">
        <f>'[1]LEA Unrestricted FB Test'!AL42</f>
        <v>64998060</v>
      </c>
      <c r="C37" s="72">
        <v>64315160</v>
      </c>
      <c r="D37" s="10">
        <f>'[1]LEA Unrestricted FB Test'!AS42</f>
        <v>18854536.70905</v>
      </c>
      <c r="E37" s="11">
        <v>32718735</v>
      </c>
      <c r="F37" s="12">
        <v>32154835</v>
      </c>
      <c r="G37" s="13">
        <v>16961355.326299999</v>
      </c>
    </row>
    <row r="38" spans="1:7" x14ac:dyDescent="0.25">
      <c r="A38" s="14" t="s">
        <v>868</v>
      </c>
      <c r="B38" s="10">
        <f>'[1]LEA Unrestricted FB Test'!AL43</f>
        <v>5891506</v>
      </c>
      <c r="C38" s="72">
        <v>5891506</v>
      </c>
      <c r="D38" s="10">
        <f>'[1]LEA Unrestricted FB Test'!AS43</f>
        <v>2390966.0225499999</v>
      </c>
      <c r="E38" s="11">
        <v>4273511</v>
      </c>
      <c r="F38" s="12">
        <v>4273511</v>
      </c>
      <c r="G38" s="13">
        <v>2182607.5243000002</v>
      </c>
    </row>
    <row r="39" spans="1:7" x14ac:dyDescent="0.25">
      <c r="A39" s="14" t="s">
        <v>869</v>
      </c>
      <c r="B39" s="10">
        <f>'[1]LEA Unrestricted FB Test'!AL44</f>
        <v>8495378</v>
      </c>
      <c r="C39" s="72">
        <v>8432154</v>
      </c>
      <c r="D39" s="10">
        <f>'[1]LEA Unrestricted FB Test'!AS44</f>
        <v>2807743.8280500001</v>
      </c>
      <c r="E39" s="11">
        <v>5211770</v>
      </c>
      <c r="F39" s="12">
        <v>5211770</v>
      </c>
      <c r="G39" s="13">
        <v>2582817.6261999998</v>
      </c>
    </row>
    <row r="40" spans="1:7" x14ac:dyDescent="0.25">
      <c r="A40" s="14" t="s">
        <v>870</v>
      </c>
      <c r="B40" s="10">
        <f>'[1]LEA Unrestricted FB Test'!AL45</f>
        <v>16078770</v>
      </c>
      <c r="C40" s="72">
        <v>13212457</v>
      </c>
      <c r="D40" s="10">
        <f>'[1]LEA Unrestricted FB Test'!AS45</f>
        <v>3318718.5647</v>
      </c>
      <c r="E40" s="11">
        <v>13940213</v>
      </c>
      <c r="F40" s="12">
        <v>13875060</v>
      </c>
      <c r="G40" s="13">
        <v>3324494.2535000001</v>
      </c>
    </row>
    <row r="41" spans="1:7" x14ac:dyDescent="0.25">
      <c r="A41" s="14" t="s">
        <v>28</v>
      </c>
      <c r="B41" s="10">
        <f>'[1]LEA Unrestricted FB Test'!AL46</f>
        <v>45140508</v>
      </c>
      <c r="C41" s="72">
        <v>44989900</v>
      </c>
      <c r="D41" s="10">
        <f>'[1]LEA Unrestricted FB Test'!AS46</f>
        <v>13113055.6788</v>
      </c>
      <c r="E41" s="11">
        <v>37928615</v>
      </c>
      <c r="F41" s="12">
        <v>37546809</v>
      </c>
      <c r="G41" s="13">
        <v>12496456.87535</v>
      </c>
    </row>
    <row r="42" spans="1:7" x14ac:dyDescent="0.25">
      <c r="A42" s="14" t="s">
        <v>871</v>
      </c>
      <c r="B42" s="10">
        <f>'[1]LEA Unrestricted FB Test'!AL47</f>
        <v>1038644</v>
      </c>
      <c r="C42" s="72">
        <v>1038644</v>
      </c>
      <c r="D42" s="10">
        <f>'[1]LEA Unrestricted FB Test'!AS47</f>
        <v>853430.11635000003</v>
      </c>
      <c r="E42" s="11">
        <v>1772608</v>
      </c>
      <c r="F42" s="12">
        <v>1772608</v>
      </c>
      <c r="G42" s="13">
        <v>786376.74009999994</v>
      </c>
    </row>
    <row r="43" spans="1:7" x14ac:dyDescent="0.25">
      <c r="A43" s="14" t="s">
        <v>872</v>
      </c>
      <c r="B43" s="10">
        <f>'[1]LEA Unrestricted FB Test'!AL48</f>
        <v>13069926</v>
      </c>
      <c r="C43" s="72">
        <v>13002674</v>
      </c>
      <c r="D43" s="10">
        <f>'[1]LEA Unrestricted FB Test'!AS48</f>
        <v>2426803.76505</v>
      </c>
      <c r="E43" s="11">
        <v>6182974</v>
      </c>
      <c r="F43" s="12">
        <v>6126203</v>
      </c>
      <c r="G43" s="13">
        <v>2266533.1905999999</v>
      </c>
    </row>
    <row r="44" spans="1:7" hidden="1" x14ac:dyDescent="0.25">
      <c r="A44" s="14" t="s">
        <v>873</v>
      </c>
      <c r="B44" s="10">
        <f>'[1]LEA Unrestricted FB Test'!AL49</f>
        <v>0</v>
      </c>
      <c r="C44" s="72"/>
      <c r="D44" s="10">
        <f>'[1]LEA Unrestricted FB Test'!AS49</f>
        <v>229874.5134</v>
      </c>
      <c r="E44" s="11">
        <v>588558</v>
      </c>
      <c r="F44" s="12">
        <v>588558</v>
      </c>
      <c r="G44" s="13">
        <v>497822.62459999998</v>
      </c>
    </row>
    <row r="45" spans="1:7" x14ac:dyDescent="0.25">
      <c r="A45" s="14" t="s">
        <v>874</v>
      </c>
      <c r="B45" s="10">
        <f>'[1]LEA Unrestricted FB Test'!AL50</f>
        <v>3193936</v>
      </c>
      <c r="C45" s="72">
        <v>3038866</v>
      </c>
      <c r="D45" s="10">
        <f>'[1]LEA Unrestricted FB Test'!AS50</f>
        <v>922115.7561</v>
      </c>
      <c r="E45" s="11">
        <v>1736651</v>
      </c>
      <c r="F45" s="12">
        <v>1631960</v>
      </c>
      <c r="G45" s="13">
        <v>823121.28639999998</v>
      </c>
    </row>
    <row r="46" spans="1:7" x14ac:dyDescent="0.25">
      <c r="A46" s="14" t="s">
        <v>875</v>
      </c>
      <c r="B46" s="10">
        <f>'[1]LEA Unrestricted FB Test'!AL51</f>
        <v>27168047</v>
      </c>
      <c r="C46" s="72">
        <v>26526827</v>
      </c>
      <c r="D46" s="10">
        <f>'[1]LEA Unrestricted FB Test'!AS51</f>
        <v>7638283.0475000003</v>
      </c>
      <c r="E46" s="11">
        <v>12900153</v>
      </c>
      <c r="F46" s="12">
        <v>12674062</v>
      </c>
      <c r="G46" s="13">
        <v>7189265.3931</v>
      </c>
    </row>
    <row r="47" spans="1:7" x14ac:dyDescent="0.25">
      <c r="A47" s="14" t="s">
        <v>876</v>
      </c>
      <c r="B47" s="10">
        <f>'[1]LEA Unrestricted FB Test'!AL52</f>
        <v>223602503</v>
      </c>
      <c r="C47" s="72">
        <v>209100945</v>
      </c>
      <c r="D47" s="10">
        <f>'[1]LEA Unrestricted FB Test'!AS52</f>
        <v>58976576.38775</v>
      </c>
      <c r="E47" s="11">
        <v>177888208</v>
      </c>
      <c r="F47" s="12">
        <v>171400666</v>
      </c>
      <c r="G47" s="13">
        <v>52332336.522199996</v>
      </c>
    </row>
    <row r="48" spans="1:7" x14ac:dyDescent="0.25">
      <c r="A48" s="14" t="s">
        <v>34</v>
      </c>
      <c r="B48" s="10">
        <f>'[1]LEA Unrestricted FB Test'!AL53</f>
        <v>26765520</v>
      </c>
      <c r="C48" s="72">
        <v>26629013</v>
      </c>
      <c r="D48" s="10">
        <f>'[1]LEA Unrestricted FB Test'!AS53</f>
        <v>6644802.3487999998</v>
      </c>
      <c r="E48" s="11">
        <v>22951517</v>
      </c>
      <c r="F48" s="12">
        <v>22740570</v>
      </c>
      <c r="G48" s="13">
        <v>6047267.0418999996</v>
      </c>
    </row>
    <row r="49" spans="1:7" x14ac:dyDescent="0.25">
      <c r="A49" s="14" t="s">
        <v>35</v>
      </c>
      <c r="B49" s="10">
        <f>'[1]LEA Unrestricted FB Test'!AL54</f>
        <v>5783353</v>
      </c>
      <c r="C49" s="72">
        <v>5783353</v>
      </c>
      <c r="D49" s="10">
        <f>'[1]LEA Unrestricted FB Test'!AS54</f>
        <v>730967.49600000004</v>
      </c>
      <c r="E49" s="11">
        <v>5395470</v>
      </c>
      <c r="F49" s="12">
        <v>5395470</v>
      </c>
      <c r="G49" s="13">
        <v>643643.10640000005</v>
      </c>
    </row>
    <row r="50" spans="1:7" x14ac:dyDescent="0.25">
      <c r="A50" s="14" t="s">
        <v>36</v>
      </c>
      <c r="B50" s="10">
        <f>'[1]LEA Unrestricted FB Test'!AL55</f>
        <v>9553627</v>
      </c>
      <c r="C50" s="72">
        <v>9260221</v>
      </c>
      <c r="D50" s="10">
        <f>'[1]LEA Unrestricted FB Test'!AS55</f>
        <v>1109454.4989499999</v>
      </c>
      <c r="E50" s="11">
        <v>6586480</v>
      </c>
      <c r="F50" s="12">
        <v>6524690</v>
      </c>
      <c r="G50" s="13">
        <v>1052460.1808</v>
      </c>
    </row>
    <row r="51" spans="1:7" hidden="1" x14ac:dyDescent="0.25">
      <c r="A51" s="14" t="s">
        <v>877</v>
      </c>
      <c r="B51" s="10">
        <f>'[1]LEA Unrestricted FB Test'!AL56</f>
        <v>0</v>
      </c>
      <c r="C51" s="72"/>
      <c r="D51" s="10">
        <f>'[1]LEA Unrestricted FB Test'!AS56</f>
        <v>0</v>
      </c>
      <c r="E51" s="11">
        <v>3656234</v>
      </c>
      <c r="F51" s="12">
        <v>3467953</v>
      </c>
      <c r="G51" s="13">
        <v>1553098.8035500001</v>
      </c>
    </row>
    <row r="52" spans="1:7" hidden="1" x14ac:dyDescent="0.25">
      <c r="A52" s="14" t="s">
        <v>878</v>
      </c>
      <c r="B52" s="10">
        <f>'[1]LEA Unrestricted FB Test'!AL57</f>
        <v>0</v>
      </c>
      <c r="C52" s="72"/>
      <c r="D52" s="10">
        <f>'[1]LEA Unrestricted FB Test'!AS57</f>
        <v>0</v>
      </c>
      <c r="E52" s="11">
        <v>5892238</v>
      </c>
      <c r="F52" s="12">
        <v>5660205</v>
      </c>
      <c r="G52" s="13">
        <v>660207.18645000004</v>
      </c>
    </row>
    <row r="53" spans="1:7" x14ac:dyDescent="0.25">
      <c r="A53" s="14" t="s">
        <v>995</v>
      </c>
      <c r="B53" s="10">
        <f>'[1]LEA Unrestricted FB Test'!AL58</f>
        <v>5920662</v>
      </c>
      <c r="C53" s="72">
        <v>5522053</v>
      </c>
      <c r="D53" s="10">
        <f>'[1]LEA Unrestricted FB Test'!AS58</f>
        <v>2230814.44215</v>
      </c>
      <c r="E53" s="11"/>
      <c r="F53" s="12"/>
      <c r="G53" s="13"/>
    </row>
    <row r="54" spans="1:7" x14ac:dyDescent="0.25">
      <c r="A54" s="14" t="s">
        <v>879</v>
      </c>
      <c r="B54" s="10">
        <f>'[1]LEA Unrestricted FB Test'!AL59</f>
        <v>165541354</v>
      </c>
      <c r="C54" s="72">
        <v>117317666</v>
      </c>
      <c r="D54" s="10">
        <f>'[1]LEA Unrestricted FB Test'!AS59</f>
        <v>39801692.743749999</v>
      </c>
      <c r="E54" s="11">
        <v>127669216</v>
      </c>
      <c r="F54" s="12">
        <v>102635215</v>
      </c>
      <c r="G54" s="13">
        <v>33738299.904749997</v>
      </c>
    </row>
    <row r="55" spans="1:7" x14ac:dyDescent="0.25">
      <c r="A55" s="14" t="s">
        <v>880</v>
      </c>
      <c r="B55" s="10">
        <f>'[1]LEA Unrestricted FB Test'!AL60</f>
        <v>0</v>
      </c>
      <c r="C55" s="72"/>
      <c r="D55" s="10">
        <f>'[1]LEA Unrestricted FB Test'!AS60</f>
        <v>1158505.2041499999</v>
      </c>
      <c r="E55" s="11">
        <v>12693141</v>
      </c>
      <c r="F55" s="12">
        <v>12326798</v>
      </c>
      <c r="G55" s="13">
        <v>2226987.3902500002</v>
      </c>
    </row>
    <row r="56" spans="1:7" x14ac:dyDescent="0.25">
      <c r="A56" s="14" t="s">
        <v>881</v>
      </c>
      <c r="B56" s="10">
        <f>'[1]LEA Unrestricted FB Test'!AL61</f>
        <v>19274171</v>
      </c>
      <c r="C56" s="72">
        <v>19271351</v>
      </c>
      <c r="D56" s="10">
        <f>'[1]LEA Unrestricted FB Test'!AS61</f>
        <v>8118501.3416499998</v>
      </c>
      <c r="E56" s="11">
        <v>15711369</v>
      </c>
      <c r="F56" s="12">
        <v>15691901</v>
      </c>
      <c r="G56" s="13">
        <v>7347558.8420500001</v>
      </c>
    </row>
    <row r="57" spans="1:7" x14ac:dyDescent="0.25">
      <c r="A57" s="14" t="s">
        <v>882</v>
      </c>
      <c r="B57" s="10">
        <f>'[1]LEA Unrestricted FB Test'!AL62</f>
        <v>33769175</v>
      </c>
      <c r="C57" s="72">
        <v>29794167</v>
      </c>
      <c r="D57" s="10">
        <f>'[1]LEA Unrestricted FB Test'!AS62</f>
        <v>11494622.894300001</v>
      </c>
      <c r="E57" s="11">
        <v>24500665</v>
      </c>
      <c r="F57" s="12">
        <v>16722485</v>
      </c>
      <c r="G57" s="13">
        <v>9469422.7984999996</v>
      </c>
    </row>
    <row r="58" spans="1:7" x14ac:dyDescent="0.25">
      <c r="A58" s="14" t="s">
        <v>42</v>
      </c>
      <c r="B58" s="10">
        <f>'[1]LEA Unrestricted FB Test'!AL63</f>
        <v>9215519</v>
      </c>
      <c r="C58" s="72">
        <v>9215519</v>
      </c>
      <c r="D58" s="10">
        <f>'[1]LEA Unrestricted FB Test'!AS63</f>
        <v>4263545.1911500003</v>
      </c>
      <c r="E58" s="11">
        <v>6271603</v>
      </c>
      <c r="F58" s="12">
        <v>6271603</v>
      </c>
      <c r="G58" s="13">
        <v>4059986.6055000001</v>
      </c>
    </row>
    <row r="59" spans="1:7" x14ac:dyDescent="0.25">
      <c r="A59" s="14" t="s">
        <v>43</v>
      </c>
      <c r="B59" s="10">
        <f>'[1]LEA Unrestricted FB Test'!AL64</f>
        <v>5617682</v>
      </c>
      <c r="C59" s="72">
        <v>5617682</v>
      </c>
      <c r="D59" s="10">
        <f>'[1]LEA Unrestricted FB Test'!AS64</f>
        <v>2354974.59155</v>
      </c>
      <c r="E59" s="11">
        <v>7179015</v>
      </c>
      <c r="F59" s="12">
        <v>7179015</v>
      </c>
      <c r="G59" s="13">
        <v>2054032.3499499999</v>
      </c>
    </row>
    <row r="60" spans="1:7" x14ac:dyDescent="0.25">
      <c r="A60" s="14" t="s">
        <v>883</v>
      </c>
      <c r="B60" s="10">
        <f>'[1]LEA Unrestricted FB Test'!AL65</f>
        <v>5771194</v>
      </c>
      <c r="C60" s="72">
        <v>5728392</v>
      </c>
      <c r="D60" s="10">
        <f>'[1]LEA Unrestricted FB Test'!AS65</f>
        <v>1278032.0826000001</v>
      </c>
      <c r="E60" s="11">
        <v>950745</v>
      </c>
      <c r="F60" s="12">
        <v>787826</v>
      </c>
      <c r="G60" s="13">
        <v>1314751.1807500001</v>
      </c>
    </row>
    <row r="61" spans="1:7" x14ac:dyDescent="0.25">
      <c r="A61" s="14" t="s">
        <v>884</v>
      </c>
      <c r="B61" s="10">
        <f>'[1]LEA Unrestricted FB Test'!AL66</f>
        <v>104811580</v>
      </c>
      <c r="C61" s="72">
        <v>70850158</v>
      </c>
      <c r="D61" s="10">
        <f>'[1]LEA Unrestricted FB Test'!AS66</f>
        <v>25702857.492899999</v>
      </c>
      <c r="E61" s="11">
        <v>65933314</v>
      </c>
      <c r="F61" s="12">
        <v>60864694</v>
      </c>
      <c r="G61" s="13">
        <v>22415507.75065</v>
      </c>
    </row>
    <row r="62" spans="1:7" x14ac:dyDescent="0.25">
      <c r="A62" s="15" t="s">
        <v>885</v>
      </c>
      <c r="B62" s="10">
        <f>'[1]LEA Unrestricted FB Test'!AL67</f>
        <v>21424744</v>
      </c>
      <c r="C62" s="73">
        <v>20712397</v>
      </c>
      <c r="D62" s="10">
        <f>'[1]LEA Unrestricted FB Test'!AS67</f>
        <v>7636331.2035499997</v>
      </c>
      <c r="E62" s="11">
        <v>12872246</v>
      </c>
      <c r="F62" s="12">
        <v>11093425</v>
      </c>
      <c r="G62" s="13">
        <v>6736294.9454499995</v>
      </c>
    </row>
    <row r="63" spans="1:7" x14ac:dyDescent="0.25">
      <c r="A63" s="14" t="s">
        <v>886</v>
      </c>
      <c r="B63" s="10">
        <f>'[1]LEA Unrestricted FB Test'!AL68</f>
        <v>10999735</v>
      </c>
      <c r="C63" s="72">
        <v>10957316</v>
      </c>
      <c r="D63" s="10">
        <f>'[1]LEA Unrestricted FB Test'!AS68</f>
        <v>1989110.82895</v>
      </c>
      <c r="E63" s="11">
        <v>12639099</v>
      </c>
      <c r="F63" s="12">
        <v>12577088</v>
      </c>
      <c r="G63" s="13">
        <v>1811893.6608499999</v>
      </c>
    </row>
    <row r="64" spans="1:7" x14ac:dyDescent="0.25">
      <c r="A64" s="14" t="s">
        <v>887</v>
      </c>
      <c r="B64" s="10">
        <f>'[1]LEA Unrestricted FB Test'!AL69</f>
        <v>24535024</v>
      </c>
      <c r="C64" s="72">
        <v>19544891</v>
      </c>
      <c r="D64" s="10">
        <f>'[1]LEA Unrestricted FB Test'!AS69</f>
        <v>2636950.9225499998</v>
      </c>
      <c r="E64" s="11">
        <v>14609025</v>
      </c>
      <c r="F64" s="12">
        <v>10326266</v>
      </c>
      <c r="G64" s="13">
        <v>2322583.7197500002</v>
      </c>
    </row>
    <row r="65" spans="1:7" x14ac:dyDescent="0.25">
      <c r="A65" s="14" t="s">
        <v>888</v>
      </c>
      <c r="B65" s="10">
        <f>'[1]LEA Unrestricted FB Test'!AL70</f>
        <v>56020807</v>
      </c>
      <c r="C65" s="72">
        <v>42453333</v>
      </c>
      <c r="D65" s="10">
        <f>'[1]LEA Unrestricted FB Test'!AS70</f>
        <v>17517513.149149999</v>
      </c>
      <c r="E65" s="11">
        <v>46518549</v>
      </c>
      <c r="F65" s="12">
        <v>43344184</v>
      </c>
      <c r="G65" s="13">
        <v>15624175.1624</v>
      </c>
    </row>
    <row r="66" spans="1:7" x14ac:dyDescent="0.25">
      <c r="A66" s="15" t="s">
        <v>889</v>
      </c>
      <c r="B66" s="10">
        <f>'[1]LEA Unrestricted FB Test'!AL71</f>
        <v>14370993</v>
      </c>
      <c r="C66" s="73">
        <v>14174045</v>
      </c>
      <c r="D66" s="10">
        <f>'[1]LEA Unrestricted FB Test'!AS71</f>
        <v>3038238.0518</v>
      </c>
      <c r="E66" s="11">
        <v>5052689</v>
      </c>
      <c r="F66" s="12">
        <v>4903985</v>
      </c>
      <c r="G66" s="13">
        <v>3020517.60115</v>
      </c>
    </row>
    <row r="67" spans="1:7" x14ac:dyDescent="0.25">
      <c r="A67" s="14" t="s">
        <v>890</v>
      </c>
      <c r="B67" s="10">
        <f>'[1]LEA Unrestricted FB Test'!AL72</f>
        <v>12656659</v>
      </c>
      <c r="C67" s="72">
        <v>12346089</v>
      </c>
      <c r="D67" s="10">
        <f>'[1]LEA Unrestricted FB Test'!AS72</f>
        <v>2973527.2381500001</v>
      </c>
      <c r="E67" s="11">
        <v>7301038</v>
      </c>
      <c r="F67" s="12">
        <v>7301038</v>
      </c>
      <c r="G67" s="13">
        <v>2701676.0221500001</v>
      </c>
    </row>
    <row r="68" spans="1:7" x14ac:dyDescent="0.25">
      <c r="A68" s="14" t="s">
        <v>891</v>
      </c>
      <c r="B68" s="10">
        <f>'[1]LEA Unrestricted FB Test'!AL73</f>
        <v>4120437</v>
      </c>
      <c r="C68" s="72">
        <v>4050273</v>
      </c>
      <c r="D68" s="10">
        <f>'[1]LEA Unrestricted FB Test'!AS73</f>
        <v>813420.33499999996</v>
      </c>
      <c r="E68" s="11">
        <v>2023151</v>
      </c>
      <c r="F68" s="12">
        <v>2023151</v>
      </c>
      <c r="G68" s="13">
        <v>755036.44790000003</v>
      </c>
    </row>
    <row r="69" spans="1:7" x14ac:dyDescent="0.25">
      <c r="A69" s="14" t="s">
        <v>892</v>
      </c>
      <c r="B69" s="10">
        <f>'[1]LEA Unrestricted FB Test'!AL74</f>
        <v>26692467</v>
      </c>
      <c r="C69" s="72">
        <v>25555504</v>
      </c>
      <c r="D69" s="10">
        <f>'[1]LEA Unrestricted FB Test'!AS74</f>
        <v>5042858.4660999998</v>
      </c>
      <c r="E69" s="11">
        <v>20688780</v>
      </c>
      <c r="F69" s="12">
        <v>20675179</v>
      </c>
      <c r="G69" s="13">
        <v>4612417.1698500002</v>
      </c>
    </row>
    <row r="70" spans="1:7" x14ac:dyDescent="0.25">
      <c r="A70" s="14" t="s">
        <v>893</v>
      </c>
      <c r="B70" s="10">
        <f>'[1]LEA Unrestricted FB Test'!AL75</f>
        <v>33841381</v>
      </c>
      <c r="C70" s="72">
        <v>31276517</v>
      </c>
      <c r="D70" s="10">
        <f>'[1]LEA Unrestricted FB Test'!AS75</f>
        <v>9327556.1095499992</v>
      </c>
      <c r="E70" s="11">
        <v>21210517</v>
      </c>
      <c r="F70" s="12">
        <v>21041943</v>
      </c>
      <c r="G70" s="13">
        <v>8624922.2755500004</v>
      </c>
    </row>
    <row r="71" spans="1:7" x14ac:dyDescent="0.25">
      <c r="A71" s="14" t="s">
        <v>894</v>
      </c>
      <c r="B71" s="10">
        <f>'[1]LEA Unrestricted FB Test'!AL79</f>
        <v>36107316</v>
      </c>
      <c r="C71" s="72">
        <v>36107316</v>
      </c>
      <c r="D71" s="10">
        <f>'[1]LEA Unrestricted FB Test'!AS79</f>
        <v>9793021.7237999998</v>
      </c>
      <c r="E71" s="11">
        <v>7126478</v>
      </c>
      <c r="F71" s="12">
        <v>7126478</v>
      </c>
      <c r="G71" s="13">
        <v>10486237.826400001</v>
      </c>
    </row>
    <row r="72" spans="1:7" x14ac:dyDescent="0.25">
      <c r="A72" s="14" t="s">
        <v>895</v>
      </c>
      <c r="B72" s="10">
        <f>'[1]LEA Unrestricted FB Test'!AL80</f>
        <v>48341846</v>
      </c>
      <c r="C72" s="72">
        <v>47118374</v>
      </c>
      <c r="D72" s="10">
        <f>'[1]LEA Unrestricted FB Test'!AS80</f>
        <v>11721747.9246</v>
      </c>
      <c r="E72" s="11">
        <v>33624703</v>
      </c>
      <c r="F72" s="12">
        <v>33623832</v>
      </c>
      <c r="G72" s="13">
        <v>10335381.3598</v>
      </c>
    </row>
    <row r="73" spans="1:7" x14ac:dyDescent="0.25">
      <c r="A73" s="14" t="s">
        <v>896</v>
      </c>
      <c r="B73" s="10">
        <f>'[1]LEA Unrestricted FB Test'!AL81</f>
        <v>78909406</v>
      </c>
      <c r="C73" s="72">
        <v>19797186</v>
      </c>
      <c r="D73" s="10">
        <f>'[1]LEA Unrestricted FB Test'!AS81</f>
        <v>26702755.83185</v>
      </c>
      <c r="E73" s="11">
        <v>57726136</v>
      </c>
      <c r="F73" s="12">
        <v>16030381</v>
      </c>
      <c r="G73" s="13">
        <v>25233056.113649998</v>
      </c>
    </row>
    <row r="74" spans="1:7" x14ac:dyDescent="0.25">
      <c r="A74" s="14" t="s">
        <v>897</v>
      </c>
      <c r="B74" s="10">
        <f>'[1]LEA Unrestricted FB Test'!AL82</f>
        <v>111821813</v>
      </c>
      <c r="C74" s="72">
        <v>111821813</v>
      </c>
      <c r="D74" s="10">
        <f>'[1]LEA Unrestricted FB Test'!AS82</f>
        <v>25943650.9703</v>
      </c>
      <c r="E74" s="11">
        <v>81237752</v>
      </c>
      <c r="F74" s="12">
        <v>81237752</v>
      </c>
      <c r="G74" s="13">
        <v>23011758.779800002</v>
      </c>
    </row>
    <row r="75" spans="1:7" x14ac:dyDescent="0.25">
      <c r="A75" s="14" t="s">
        <v>898</v>
      </c>
      <c r="B75" s="10">
        <f>'[1]LEA Unrestricted FB Test'!AL83</f>
        <v>10730660</v>
      </c>
      <c r="C75" s="72">
        <v>10563983</v>
      </c>
      <c r="D75" s="10">
        <f>'[1]LEA Unrestricted FB Test'!AS83</f>
        <v>1771680.8773999999</v>
      </c>
      <c r="E75" s="11">
        <v>5343607</v>
      </c>
      <c r="F75" s="12">
        <v>5343607</v>
      </c>
      <c r="G75" s="13">
        <v>1493509.2322499999</v>
      </c>
    </row>
    <row r="76" spans="1:7" x14ac:dyDescent="0.25">
      <c r="A76" s="14" t="s">
        <v>899</v>
      </c>
      <c r="B76" s="10">
        <f>'[1]LEA Unrestricted FB Test'!AL84</f>
        <v>2091855</v>
      </c>
      <c r="C76" s="72">
        <v>2091855</v>
      </c>
      <c r="D76" s="10">
        <f>'[1]LEA Unrestricted FB Test'!AS84</f>
        <v>310366.92855000001</v>
      </c>
      <c r="E76" s="11">
        <v>4007404</v>
      </c>
      <c r="F76" s="12">
        <v>3990718</v>
      </c>
      <c r="G76" s="13">
        <v>285451.85690000001</v>
      </c>
    </row>
    <row r="77" spans="1:7" x14ac:dyDescent="0.25">
      <c r="A77" s="14" t="s">
        <v>900</v>
      </c>
      <c r="B77" s="10">
        <f>'[1]LEA Unrestricted FB Test'!AL85</f>
        <v>18577013</v>
      </c>
      <c r="C77" s="72">
        <v>17506843</v>
      </c>
      <c r="D77" s="10">
        <f>'[1]LEA Unrestricted FB Test'!AS85</f>
        <v>4146518.0624000002</v>
      </c>
      <c r="E77" s="11">
        <v>7194988</v>
      </c>
      <c r="F77" s="12">
        <v>7194988</v>
      </c>
      <c r="G77" s="13">
        <v>3664999.5385500002</v>
      </c>
    </row>
    <row r="78" spans="1:7" x14ac:dyDescent="0.25">
      <c r="A78" s="14" t="s">
        <v>901</v>
      </c>
      <c r="B78" s="10">
        <f>'[1]LEA Unrestricted FB Test'!AL86</f>
        <v>22061059</v>
      </c>
      <c r="C78" s="72">
        <v>22025059</v>
      </c>
      <c r="D78" s="10">
        <f>'[1]LEA Unrestricted FB Test'!AS86</f>
        <v>7485658.0802499996</v>
      </c>
      <c r="E78" s="11">
        <v>17885619</v>
      </c>
      <c r="F78" s="12">
        <v>16348255</v>
      </c>
      <c r="G78" s="13">
        <v>6561096.5528499996</v>
      </c>
    </row>
    <row r="79" spans="1:7" x14ac:dyDescent="0.25">
      <c r="A79" s="14" t="s">
        <v>902</v>
      </c>
      <c r="B79" s="10">
        <f>'[1]LEA Unrestricted FB Test'!AL87</f>
        <v>7815285</v>
      </c>
      <c r="C79" s="72">
        <v>7785736</v>
      </c>
      <c r="D79" s="10">
        <f>'[1]LEA Unrestricted FB Test'!AS87</f>
        <v>2501740.19515</v>
      </c>
      <c r="E79" s="11">
        <v>5502965</v>
      </c>
      <c r="F79" s="12">
        <v>5502965</v>
      </c>
      <c r="G79" s="13">
        <v>2381107.176</v>
      </c>
    </row>
    <row r="80" spans="1:7" x14ac:dyDescent="0.25">
      <c r="A80" s="14" t="s">
        <v>903</v>
      </c>
      <c r="B80" s="10">
        <f>'[1]LEA Unrestricted FB Test'!AL88</f>
        <v>17589585</v>
      </c>
      <c r="C80" s="72">
        <v>16942592</v>
      </c>
      <c r="D80" s="10">
        <f>'[1]LEA Unrestricted FB Test'!AS88</f>
        <v>2056291.61255</v>
      </c>
      <c r="E80" s="11">
        <v>13040400</v>
      </c>
      <c r="F80" s="12">
        <v>12669654</v>
      </c>
      <c r="G80" s="13">
        <v>1821927.1875</v>
      </c>
    </row>
    <row r="81" spans="1:7" x14ac:dyDescent="0.25">
      <c r="A81" s="14" t="s">
        <v>904</v>
      </c>
      <c r="B81" s="10">
        <f>'[1]LEA Unrestricted FB Test'!AL89</f>
        <v>27113894</v>
      </c>
      <c r="C81" s="72">
        <v>27111910</v>
      </c>
      <c r="D81" s="10">
        <f>'[1]LEA Unrestricted FB Test'!AS89</f>
        <v>8155156.34045</v>
      </c>
      <c r="E81" s="11">
        <v>19437630</v>
      </c>
      <c r="F81" s="12">
        <v>19436595</v>
      </c>
      <c r="G81" s="13">
        <v>6626828.1246999996</v>
      </c>
    </row>
    <row r="82" spans="1:7" x14ac:dyDescent="0.25">
      <c r="A82" s="14" t="s">
        <v>905</v>
      </c>
      <c r="B82" s="10">
        <f>'[1]LEA Unrestricted FB Test'!AL90</f>
        <v>20301253</v>
      </c>
      <c r="C82" s="72">
        <v>20076862</v>
      </c>
      <c r="D82" s="10">
        <f>'[1]LEA Unrestricted FB Test'!AS90</f>
        <v>9724313.3848000001</v>
      </c>
      <c r="E82" s="11">
        <v>13508665</v>
      </c>
      <c r="F82" s="12">
        <v>13442293</v>
      </c>
      <c r="G82" s="13">
        <v>8470129.7589999996</v>
      </c>
    </row>
    <row r="83" spans="1:7" x14ac:dyDescent="0.25">
      <c r="A83" s="14" t="s">
        <v>906</v>
      </c>
      <c r="B83" s="10">
        <f>'[1]LEA Unrestricted FB Test'!AL91</f>
        <v>17500000</v>
      </c>
      <c r="C83" s="72">
        <v>17500000</v>
      </c>
      <c r="D83" s="10">
        <f>'[1]LEA Unrestricted FB Test'!AS91</f>
        <v>6576445.5357999997</v>
      </c>
      <c r="E83" s="11">
        <v>16234258</v>
      </c>
      <c r="F83" s="12">
        <v>15170246</v>
      </c>
      <c r="G83" s="13">
        <v>5867363.4488000004</v>
      </c>
    </row>
    <row r="84" spans="1:7" x14ac:dyDescent="0.25">
      <c r="A84" s="14" t="s">
        <v>907</v>
      </c>
      <c r="B84" s="10">
        <f>'[1]LEA Unrestricted FB Test'!AL92</f>
        <v>51402592</v>
      </c>
      <c r="C84" s="72">
        <v>50143854</v>
      </c>
      <c r="D84" s="10">
        <f>'[1]LEA Unrestricted FB Test'!AS92</f>
        <v>10862603.886399999</v>
      </c>
      <c r="E84" s="11">
        <v>25374378</v>
      </c>
      <c r="F84" s="12">
        <v>23373417</v>
      </c>
      <c r="G84" s="13">
        <v>10231501.761600001</v>
      </c>
    </row>
    <row r="85" spans="1:7" x14ac:dyDescent="0.25">
      <c r="A85" s="14" t="s">
        <v>908</v>
      </c>
      <c r="B85" s="10">
        <f>'[1]LEA Unrestricted FB Test'!AL93</f>
        <v>6610775</v>
      </c>
      <c r="C85" s="72">
        <v>6495566</v>
      </c>
      <c r="D85" s="10">
        <f>'[1]LEA Unrestricted FB Test'!AS93</f>
        <v>2685513.0732499999</v>
      </c>
      <c r="E85" s="11">
        <v>3948548</v>
      </c>
      <c r="F85" s="12">
        <v>3917997</v>
      </c>
      <c r="G85" s="13">
        <v>2570753.2455500001</v>
      </c>
    </row>
    <row r="86" spans="1:7" x14ac:dyDescent="0.25">
      <c r="A86" s="14" t="s">
        <v>909</v>
      </c>
      <c r="B86" s="10">
        <f>'[1]LEA Unrestricted FB Test'!AL94</f>
        <v>15818251</v>
      </c>
      <c r="C86" s="72">
        <v>15567192</v>
      </c>
      <c r="D86" s="10">
        <f>'[1]LEA Unrestricted FB Test'!AS94</f>
        <v>2734479.5621500001</v>
      </c>
      <c r="E86" s="11">
        <v>6856229</v>
      </c>
      <c r="F86" s="12">
        <v>6856229</v>
      </c>
      <c r="G86" s="13">
        <v>2496491.7953499998</v>
      </c>
    </row>
    <row r="87" spans="1:7" x14ac:dyDescent="0.25">
      <c r="A87" s="14" t="s">
        <v>910</v>
      </c>
      <c r="B87" s="10">
        <f>'[1]LEA Unrestricted FB Test'!AL95</f>
        <v>13707765</v>
      </c>
      <c r="C87" s="72">
        <v>13707765</v>
      </c>
      <c r="D87" s="10">
        <f>'[1]LEA Unrestricted FB Test'!AS95</f>
        <v>4398774.2028999999</v>
      </c>
      <c r="E87" s="11">
        <v>11245207</v>
      </c>
      <c r="F87" s="12">
        <v>11245207</v>
      </c>
      <c r="G87" s="13">
        <v>3945601.4611999998</v>
      </c>
    </row>
    <row r="88" spans="1:7" x14ac:dyDescent="0.25">
      <c r="A88" s="14" t="s">
        <v>911</v>
      </c>
      <c r="B88" s="10">
        <f>'[1]LEA Unrestricted FB Test'!AL96</f>
        <v>31129442</v>
      </c>
      <c r="C88" s="72">
        <v>31129442</v>
      </c>
      <c r="D88" s="10">
        <f>'[1]LEA Unrestricted FB Test'!AS96</f>
        <v>8371267.4863999998</v>
      </c>
      <c r="E88" s="11">
        <v>23551426</v>
      </c>
      <c r="F88" s="12">
        <v>23466782</v>
      </c>
      <c r="G88" s="13">
        <v>6945250.9129499998</v>
      </c>
    </row>
    <row r="89" spans="1:7" x14ac:dyDescent="0.25">
      <c r="A89" s="14" t="s">
        <v>72</v>
      </c>
      <c r="B89" s="10">
        <f>'[1]LEA Unrestricted FB Test'!AL97</f>
        <v>42646792</v>
      </c>
      <c r="C89" s="72">
        <v>41986792</v>
      </c>
      <c r="D89" s="10">
        <f>'[1]LEA Unrestricted FB Test'!AS97</f>
        <v>14904346.709000001</v>
      </c>
      <c r="E89" s="11">
        <v>39092025</v>
      </c>
      <c r="F89" s="12">
        <v>34464696</v>
      </c>
      <c r="G89" s="13">
        <v>13557089.53585</v>
      </c>
    </row>
    <row r="90" spans="1:7" x14ac:dyDescent="0.25">
      <c r="A90" s="14" t="s">
        <v>912</v>
      </c>
      <c r="B90" s="10">
        <f>'[1]LEA Unrestricted FB Test'!AL98</f>
        <v>43159988</v>
      </c>
      <c r="C90" s="72">
        <v>43159988</v>
      </c>
      <c r="D90" s="10">
        <f>'[1]LEA Unrestricted FB Test'!AS98</f>
        <v>15261712.24725</v>
      </c>
      <c r="E90" s="11">
        <v>32602485</v>
      </c>
      <c r="F90" s="12">
        <v>32602485</v>
      </c>
      <c r="G90" s="13">
        <v>11673951.42585</v>
      </c>
    </row>
    <row r="91" spans="1:7" x14ac:dyDescent="0.25">
      <c r="A91" s="14" t="s">
        <v>913</v>
      </c>
      <c r="B91" s="10">
        <f>'[1]LEA Unrestricted FB Test'!AL99</f>
        <v>4023334</v>
      </c>
      <c r="C91" s="72">
        <v>2511725</v>
      </c>
      <c r="D91" s="10">
        <f>'[1]LEA Unrestricted FB Test'!AS99</f>
        <v>284545.67784999998</v>
      </c>
      <c r="E91" s="11">
        <v>227870</v>
      </c>
      <c r="F91" s="12">
        <v>219607</v>
      </c>
      <c r="G91" s="13">
        <v>120986.71094999999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72BB-FEB3-43C1-8EA2-2CFEC38CDF69}">
  <dimension ref="A1:C94"/>
  <sheetViews>
    <sheetView workbookViewId="0">
      <selection activeCell="F23" sqref="F23"/>
    </sheetView>
  </sheetViews>
  <sheetFormatPr defaultRowHeight="18.75" x14ac:dyDescent="0.3"/>
  <cols>
    <col min="1" max="1" width="40.42578125" style="19" customWidth="1"/>
    <col min="2" max="2" width="41.5703125" style="20" customWidth="1"/>
    <col min="3" max="3" width="45.7109375" style="21" customWidth="1"/>
    <col min="4" max="16384" width="9.140625" style="18"/>
  </cols>
  <sheetData>
    <row r="1" spans="1:3" x14ac:dyDescent="0.3">
      <c r="A1" s="17" t="s">
        <v>1380</v>
      </c>
      <c r="B1" s="67"/>
      <c r="C1" s="68"/>
    </row>
    <row r="2" spans="1:3" ht="19.5" thickBot="1" x14ac:dyDescent="0.35">
      <c r="A2" s="69" t="s">
        <v>914</v>
      </c>
      <c r="B2" s="70" t="s">
        <v>915</v>
      </c>
      <c r="C2" s="71" t="s">
        <v>916</v>
      </c>
    </row>
    <row r="3" spans="1:3" ht="19.5" thickTop="1" x14ac:dyDescent="0.3"/>
    <row r="4" spans="1:3" x14ac:dyDescent="0.3">
      <c r="A4" s="19" t="s">
        <v>917</v>
      </c>
      <c r="B4" s="20">
        <v>205</v>
      </c>
      <c r="C4" s="21">
        <v>53504.356</v>
      </c>
    </row>
    <row r="5" spans="1:3" x14ac:dyDescent="0.3">
      <c r="A5" s="19" t="s">
        <v>918</v>
      </c>
      <c r="B5" s="20">
        <v>1426</v>
      </c>
      <c r="C5" s="21">
        <v>58935.692145862602</v>
      </c>
    </row>
    <row r="6" spans="1:3" x14ac:dyDescent="0.3">
      <c r="A6" s="19" t="s">
        <v>919</v>
      </c>
      <c r="B6" s="20">
        <v>70</v>
      </c>
      <c r="C6" s="21">
        <v>52362.337285714297</v>
      </c>
    </row>
    <row r="7" spans="1:3" x14ac:dyDescent="0.3">
      <c r="A7" s="19" t="s">
        <v>920</v>
      </c>
      <c r="B7" s="20">
        <v>606</v>
      </c>
      <c r="C7" s="21">
        <v>56369.223663366298</v>
      </c>
    </row>
    <row r="8" spans="1:3" x14ac:dyDescent="0.3">
      <c r="A8" s="19" t="s">
        <v>921</v>
      </c>
      <c r="B8" s="20">
        <v>177</v>
      </c>
      <c r="C8" s="21">
        <v>58098.180734463298</v>
      </c>
    </row>
    <row r="9" spans="1:3" x14ac:dyDescent="0.3">
      <c r="A9" s="19" t="s">
        <v>922</v>
      </c>
      <c r="B9" s="20">
        <v>150</v>
      </c>
      <c r="C9" s="21">
        <v>58405.882933333298</v>
      </c>
    </row>
    <row r="10" spans="1:3" x14ac:dyDescent="0.3">
      <c r="A10" s="19" t="s">
        <v>923</v>
      </c>
      <c r="B10" s="20">
        <v>180</v>
      </c>
      <c r="C10" s="21">
        <v>60706.266666666699</v>
      </c>
    </row>
    <row r="11" spans="1:3" x14ac:dyDescent="0.3">
      <c r="A11" s="19" t="s">
        <v>924</v>
      </c>
      <c r="B11" s="20">
        <v>743</v>
      </c>
      <c r="C11" s="21">
        <v>57015.421238223404</v>
      </c>
    </row>
    <row r="12" spans="1:3" x14ac:dyDescent="0.3">
      <c r="A12" s="19" t="s">
        <v>925</v>
      </c>
      <c r="B12" s="20">
        <v>115</v>
      </c>
      <c r="C12" s="21">
        <v>53887.866869565201</v>
      </c>
    </row>
    <row r="13" spans="1:3" x14ac:dyDescent="0.3">
      <c r="A13" s="19" t="s">
        <v>926</v>
      </c>
      <c r="B13" s="20">
        <v>123</v>
      </c>
      <c r="C13" s="21">
        <v>55572.915853658502</v>
      </c>
    </row>
    <row r="14" spans="1:3" x14ac:dyDescent="0.3">
      <c r="A14" s="19" t="s">
        <v>927</v>
      </c>
      <c r="B14" s="20">
        <v>84</v>
      </c>
      <c r="C14" s="21">
        <v>53199.448809523798</v>
      </c>
    </row>
    <row r="15" spans="1:3" x14ac:dyDescent="0.3">
      <c r="A15" s="19" t="s">
        <v>928</v>
      </c>
      <c r="B15" s="20">
        <v>1562</v>
      </c>
      <c r="C15" s="21">
        <v>65278.128745198497</v>
      </c>
    </row>
    <row r="16" spans="1:3" x14ac:dyDescent="0.3">
      <c r="A16" s="19" t="s">
        <v>929</v>
      </c>
      <c r="B16" s="20">
        <v>1834</v>
      </c>
      <c r="C16" s="21">
        <v>58430.384940021897</v>
      </c>
    </row>
    <row r="17" spans="1:3" x14ac:dyDescent="0.3">
      <c r="A17" s="19" t="s">
        <v>930</v>
      </c>
      <c r="B17" s="20">
        <v>89</v>
      </c>
      <c r="C17" s="21">
        <v>57384.681235955097</v>
      </c>
    </row>
    <row r="18" spans="1:3" x14ac:dyDescent="0.3">
      <c r="A18" s="19" t="s">
        <v>931</v>
      </c>
      <c r="B18" s="20">
        <v>3266</v>
      </c>
      <c r="C18" s="21">
        <v>60012.901981016803</v>
      </c>
    </row>
    <row r="19" spans="1:3" x14ac:dyDescent="0.3">
      <c r="A19" s="19" t="s">
        <v>932</v>
      </c>
      <c r="B19" s="20">
        <v>445</v>
      </c>
      <c r="C19" s="21">
        <v>57060.510337078696</v>
      </c>
    </row>
    <row r="20" spans="1:3" x14ac:dyDescent="0.3">
      <c r="A20" s="19" t="s">
        <v>933</v>
      </c>
      <c r="B20" s="20">
        <v>266</v>
      </c>
      <c r="C20" s="21">
        <v>55802.188421052597</v>
      </c>
    </row>
    <row r="21" spans="1:3" x14ac:dyDescent="0.3">
      <c r="A21" s="19" t="s">
        <v>934</v>
      </c>
      <c r="B21" s="20">
        <v>399</v>
      </c>
      <c r="C21" s="21">
        <v>55706.177944862196</v>
      </c>
    </row>
    <row r="22" spans="1:3" x14ac:dyDescent="0.3">
      <c r="A22" s="19" t="s">
        <v>935</v>
      </c>
      <c r="B22" s="20">
        <v>219</v>
      </c>
      <c r="C22" s="21">
        <v>58015.597808219201</v>
      </c>
    </row>
    <row r="23" spans="1:3" x14ac:dyDescent="0.3">
      <c r="A23" s="19" t="s">
        <v>936</v>
      </c>
      <c r="B23" s="20">
        <v>204</v>
      </c>
      <c r="C23" s="21">
        <v>54024.019607843104</v>
      </c>
    </row>
    <row r="24" spans="1:3" x14ac:dyDescent="0.3">
      <c r="A24" s="19" t="s">
        <v>937</v>
      </c>
      <c r="B24" s="20">
        <v>636</v>
      </c>
      <c r="C24" s="21">
        <v>56010.155974842601</v>
      </c>
    </row>
    <row r="25" spans="1:3" x14ac:dyDescent="0.3">
      <c r="A25" s="19" t="s">
        <v>938</v>
      </c>
      <c r="B25" s="20">
        <v>58</v>
      </c>
      <c r="C25" s="21">
        <v>53060.4103448276</v>
      </c>
    </row>
    <row r="26" spans="1:3" x14ac:dyDescent="0.3">
      <c r="A26" s="19" t="s">
        <v>939</v>
      </c>
      <c r="B26" s="20">
        <v>148</v>
      </c>
      <c r="C26" s="21">
        <v>50666.8191216216</v>
      </c>
    </row>
    <row r="27" spans="1:3" x14ac:dyDescent="0.3">
      <c r="A27" s="19" t="s">
        <v>940</v>
      </c>
      <c r="B27" s="20">
        <v>1334</v>
      </c>
      <c r="C27" s="21">
        <v>54685.088575712201</v>
      </c>
    </row>
    <row r="28" spans="1:3" x14ac:dyDescent="0.3">
      <c r="A28" s="19" t="s">
        <v>941</v>
      </c>
      <c r="B28" s="20">
        <v>146</v>
      </c>
      <c r="C28" s="21">
        <v>55021.384109589002</v>
      </c>
    </row>
    <row r="29" spans="1:3" x14ac:dyDescent="0.3">
      <c r="A29" s="19" t="s">
        <v>942</v>
      </c>
      <c r="B29" s="20">
        <v>200</v>
      </c>
      <c r="C29" s="21">
        <v>53468.544999999998</v>
      </c>
    </row>
    <row r="30" spans="1:3" x14ac:dyDescent="0.3">
      <c r="A30" s="19" t="s">
        <v>943</v>
      </c>
      <c r="B30" s="20">
        <v>211</v>
      </c>
      <c r="C30" s="21">
        <v>56560.000094786701</v>
      </c>
    </row>
    <row r="31" spans="1:3" x14ac:dyDescent="0.3">
      <c r="A31" s="19" t="s">
        <v>944</v>
      </c>
      <c r="B31" s="20">
        <v>1076</v>
      </c>
      <c r="C31" s="21">
        <v>56212.714052044597</v>
      </c>
    </row>
    <row r="32" spans="1:3" x14ac:dyDescent="0.3">
      <c r="A32" s="19" t="s">
        <v>945</v>
      </c>
      <c r="B32" s="20">
        <v>63</v>
      </c>
      <c r="C32" s="21">
        <v>56456.892698412703</v>
      </c>
    </row>
    <row r="33" spans="1:3" x14ac:dyDescent="0.3">
      <c r="A33" s="19" t="s">
        <v>946</v>
      </c>
      <c r="B33" s="20">
        <v>151</v>
      </c>
      <c r="C33" s="21">
        <v>53862.061258278103</v>
      </c>
    </row>
    <row r="34" spans="1:3" x14ac:dyDescent="0.3">
      <c r="A34" s="19" t="s">
        <v>947</v>
      </c>
      <c r="B34" s="20">
        <v>73</v>
      </c>
      <c r="C34" s="21">
        <v>53407.671232876703</v>
      </c>
    </row>
    <row r="35" spans="1:3" x14ac:dyDescent="0.3">
      <c r="A35" s="19" t="s">
        <v>948</v>
      </c>
      <c r="B35" s="20">
        <v>535</v>
      </c>
      <c r="C35" s="21">
        <v>57811.626168224298</v>
      </c>
    </row>
    <row r="36" spans="1:3" x14ac:dyDescent="0.3">
      <c r="A36" s="19" t="s">
        <v>949</v>
      </c>
      <c r="B36" s="20">
        <v>4429</v>
      </c>
      <c r="C36" s="21">
        <v>59099.271277940803</v>
      </c>
    </row>
    <row r="37" spans="1:3" x14ac:dyDescent="0.3">
      <c r="A37" s="19" t="s">
        <v>950</v>
      </c>
      <c r="B37" s="20">
        <v>477</v>
      </c>
      <c r="C37" s="21">
        <v>53829.836981132103</v>
      </c>
    </row>
    <row r="38" spans="1:3" x14ac:dyDescent="0.3">
      <c r="A38" s="19" t="s">
        <v>951</v>
      </c>
      <c r="B38" s="20">
        <v>59</v>
      </c>
      <c r="C38" s="21">
        <v>50890.447288135598</v>
      </c>
    </row>
    <row r="39" spans="1:3" x14ac:dyDescent="0.3">
      <c r="A39" s="19" t="s">
        <v>952</v>
      </c>
      <c r="B39" s="20">
        <v>81</v>
      </c>
      <c r="C39" s="21">
        <v>55341.770246913598</v>
      </c>
    </row>
    <row r="40" spans="1:3" x14ac:dyDescent="0.3">
      <c r="A40" s="19" t="s">
        <v>1381</v>
      </c>
      <c r="B40" s="20">
        <v>174</v>
      </c>
      <c r="C40" s="21">
        <v>52819.823160919499</v>
      </c>
    </row>
    <row r="41" spans="1:3" x14ac:dyDescent="0.3">
      <c r="A41" s="19" t="s">
        <v>953</v>
      </c>
      <c r="B41" s="20">
        <v>2442</v>
      </c>
      <c r="C41" s="21">
        <v>63255.1677067977</v>
      </c>
    </row>
    <row r="42" spans="1:3" x14ac:dyDescent="0.3">
      <c r="A42" s="19" t="s">
        <v>954</v>
      </c>
      <c r="B42" s="20">
        <v>139</v>
      </c>
      <c r="C42" s="21">
        <v>60787.877410071902</v>
      </c>
    </row>
    <row r="43" spans="1:3" x14ac:dyDescent="0.3">
      <c r="A43" s="19" t="s">
        <v>955</v>
      </c>
      <c r="B43" s="20">
        <v>686</v>
      </c>
      <c r="C43" s="21">
        <v>55650.371224489798</v>
      </c>
    </row>
    <row r="44" spans="1:3" x14ac:dyDescent="0.3">
      <c r="A44" s="19" t="s">
        <v>956</v>
      </c>
      <c r="B44" s="20">
        <v>761</v>
      </c>
      <c r="C44" s="21">
        <v>55901.647109067002</v>
      </c>
    </row>
    <row r="45" spans="1:3" x14ac:dyDescent="0.3">
      <c r="A45" s="19" t="s">
        <v>957</v>
      </c>
      <c r="B45" s="20">
        <v>349</v>
      </c>
      <c r="C45" s="21">
        <v>53853.173696275102</v>
      </c>
    </row>
    <row r="46" spans="1:3" x14ac:dyDescent="0.3">
      <c r="A46" s="19" t="s">
        <v>958</v>
      </c>
      <c r="B46" s="20">
        <v>187</v>
      </c>
      <c r="C46" s="21">
        <v>55494.592994652397</v>
      </c>
    </row>
    <row r="47" spans="1:3" x14ac:dyDescent="0.3">
      <c r="A47" s="19" t="s">
        <v>959</v>
      </c>
      <c r="B47" s="20">
        <v>94</v>
      </c>
      <c r="C47" s="21">
        <v>51033.6531914894</v>
      </c>
    </row>
    <row r="48" spans="1:3" x14ac:dyDescent="0.3">
      <c r="A48" s="19" t="s">
        <v>960</v>
      </c>
      <c r="B48" s="20">
        <v>1760</v>
      </c>
      <c r="C48" s="21">
        <v>58410.060176136401</v>
      </c>
    </row>
    <row r="49" spans="1:3" x14ac:dyDescent="0.3">
      <c r="A49" s="19" t="s">
        <v>961</v>
      </c>
      <c r="B49" s="20">
        <v>591</v>
      </c>
      <c r="C49" s="21">
        <v>54214.560862944098</v>
      </c>
    </row>
    <row r="50" spans="1:3" x14ac:dyDescent="0.3">
      <c r="A50" s="19" t="s">
        <v>962</v>
      </c>
      <c r="B50" s="20">
        <v>103</v>
      </c>
      <c r="C50" s="21">
        <v>55718.243592232997</v>
      </c>
    </row>
    <row r="51" spans="1:3" x14ac:dyDescent="0.3">
      <c r="A51" s="19" t="s">
        <v>963</v>
      </c>
      <c r="B51" s="20">
        <v>212</v>
      </c>
      <c r="C51" s="21">
        <v>57134.689433962303</v>
      </c>
    </row>
    <row r="52" spans="1:3" x14ac:dyDescent="0.3">
      <c r="A52" s="19" t="s">
        <v>964</v>
      </c>
      <c r="B52" s="20">
        <v>1428</v>
      </c>
      <c r="C52" s="21">
        <v>62400.725035014002</v>
      </c>
    </row>
    <row r="53" spans="1:3" x14ac:dyDescent="0.3">
      <c r="A53" s="19" t="s">
        <v>965</v>
      </c>
      <c r="B53" s="20">
        <v>38</v>
      </c>
      <c r="C53" s="21">
        <v>57175.157894736803</v>
      </c>
    </row>
    <row r="54" spans="1:3" x14ac:dyDescent="0.3">
      <c r="A54" s="19" t="s">
        <v>966</v>
      </c>
      <c r="B54" s="20">
        <v>202</v>
      </c>
      <c r="C54" s="21">
        <v>52307.239653465302</v>
      </c>
    </row>
    <row r="55" spans="1:3" x14ac:dyDescent="0.3">
      <c r="A55" s="19" t="s">
        <v>967</v>
      </c>
      <c r="B55" s="20">
        <v>187</v>
      </c>
      <c r="C55" s="21">
        <v>54233.0053475936</v>
      </c>
    </row>
    <row r="56" spans="1:3" x14ac:dyDescent="0.3">
      <c r="A56" s="19" t="s">
        <v>968</v>
      </c>
      <c r="B56" s="20">
        <v>419</v>
      </c>
      <c r="C56" s="21">
        <v>54443.381957040598</v>
      </c>
    </row>
    <row r="57" spans="1:3" x14ac:dyDescent="0.3">
      <c r="A57" s="19" t="s">
        <v>969</v>
      </c>
      <c r="B57" s="20">
        <v>653</v>
      </c>
      <c r="C57" s="21">
        <v>59187.308989280296</v>
      </c>
    </row>
    <row r="58" spans="1:3" x14ac:dyDescent="0.3">
      <c r="A58" s="19" t="s">
        <v>1382</v>
      </c>
      <c r="B58" s="20">
        <v>562</v>
      </c>
      <c r="C58" s="21">
        <v>56854.526672597902</v>
      </c>
    </row>
    <row r="59" spans="1:3" x14ac:dyDescent="0.3">
      <c r="A59" s="19" t="s">
        <v>970</v>
      </c>
      <c r="B59" s="20">
        <v>970</v>
      </c>
      <c r="C59" s="21">
        <v>56200.504020618602</v>
      </c>
    </row>
    <row r="60" spans="1:3" x14ac:dyDescent="0.3">
      <c r="A60" s="19" t="s">
        <v>971</v>
      </c>
      <c r="B60" s="20">
        <v>1467</v>
      </c>
      <c r="C60" s="21">
        <v>58009.797798227599</v>
      </c>
    </row>
    <row r="61" spans="1:3" x14ac:dyDescent="0.3">
      <c r="A61" s="19" t="s">
        <v>972</v>
      </c>
      <c r="B61" s="20">
        <v>1733</v>
      </c>
      <c r="C61" s="21">
        <v>55537.203808424703</v>
      </c>
    </row>
    <row r="62" spans="1:3" x14ac:dyDescent="0.3">
      <c r="A62" s="19" t="s">
        <v>973</v>
      </c>
      <c r="B62" s="20">
        <v>137</v>
      </c>
      <c r="C62" s="21">
        <v>53887.052992700701</v>
      </c>
    </row>
    <row r="63" spans="1:3" x14ac:dyDescent="0.3">
      <c r="A63" s="19" t="s">
        <v>974</v>
      </c>
      <c r="B63" s="20">
        <v>321</v>
      </c>
      <c r="C63" s="21">
        <v>54142.019190031198</v>
      </c>
    </row>
    <row r="64" spans="1:3" x14ac:dyDescent="0.3">
      <c r="A64" s="19" t="s">
        <v>975</v>
      </c>
      <c r="B64" s="20">
        <v>516</v>
      </c>
      <c r="C64" s="21">
        <v>57663.570155038797</v>
      </c>
    </row>
    <row r="65" spans="1:3" x14ac:dyDescent="0.3">
      <c r="A65" s="19" t="s">
        <v>976</v>
      </c>
      <c r="B65" s="20">
        <v>172</v>
      </c>
      <c r="C65" s="21">
        <v>57813.860465116297</v>
      </c>
    </row>
    <row r="66" spans="1:3" x14ac:dyDescent="0.3">
      <c r="A66" s="19" t="s">
        <v>977</v>
      </c>
      <c r="B66" s="20">
        <v>144</v>
      </c>
      <c r="C66" s="21">
        <v>60009.736111111102</v>
      </c>
    </row>
    <row r="67" spans="1:3" x14ac:dyDescent="0.3">
      <c r="A67" s="19" t="s">
        <v>978</v>
      </c>
      <c r="B67" s="20">
        <v>586</v>
      </c>
      <c r="C67" s="21">
        <v>58042.480682593901</v>
      </c>
    </row>
    <row r="68" spans="1:3" x14ac:dyDescent="0.3">
      <c r="A68" s="19" t="s">
        <v>979</v>
      </c>
      <c r="B68" s="20">
        <v>689</v>
      </c>
      <c r="C68" s="21">
        <v>57357.117561683597</v>
      </c>
    </row>
    <row r="69" spans="1:3" x14ac:dyDescent="0.3">
      <c r="A69" s="19" t="s">
        <v>980</v>
      </c>
      <c r="B69" s="20">
        <v>607</v>
      </c>
      <c r="C69" s="21">
        <v>54159.896408566703</v>
      </c>
    </row>
    <row r="70" spans="1:3" x14ac:dyDescent="0.3">
      <c r="A70" s="19" t="s">
        <v>981</v>
      </c>
      <c r="B70" s="20">
        <v>679</v>
      </c>
      <c r="C70" s="21">
        <v>57793.602400589101</v>
      </c>
    </row>
    <row r="71" spans="1:3" x14ac:dyDescent="0.3">
      <c r="A71" s="19" t="s">
        <v>982</v>
      </c>
      <c r="B71" s="20">
        <v>224</v>
      </c>
      <c r="C71" s="21">
        <v>57903.28125</v>
      </c>
    </row>
    <row r="72" spans="1:3" x14ac:dyDescent="0.3">
      <c r="A72" s="19" t="s">
        <v>983</v>
      </c>
      <c r="B72" s="20">
        <v>100</v>
      </c>
      <c r="C72" s="21">
        <v>51131.397599999997</v>
      </c>
    </row>
    <row r="73" spans="1:3" x14ac:dyDescent="0.3">
      <c r="A73" s="19" t="s">
        <v>984</v>
      </c>
      <c r="B73" s="20">
        <v>301</v>
      </c>
      <c r="C73" s="21">
        <v>58152.887043189403</v>
      </c>
    </row>
    <row r="74" spans="1:3" x14ac:dyDescent="0.3">
      <c r="A74" s="19" t="s">
        <v>985</v>
      </c>
      <c r="B74" s="20">
        <v>604</v>
      </c>
      <c r="C74" s="21">
        <v>59732.148526490098</v>
      </c>
    </row>
    <row r="75" spans="1:3" x14ac:dyDescent="0.3">
      <c r="A75" s="19" t="s">
        <v>986</v>
      </c>
      <c r="B75" s="20">
        <v>1081</v>
      </c>
      <c r="C75" s="21">
        <v>58076.883524514298</v>
      </c>
    </row>
    <row r="76" spans="1:3" x14ac:dyDescent="0.3">
      <c r="A76" s="19" t="s">
        <v>987</v>
      </c>
      <c r="B76" s="20">
        <v>1107</v>
      </c>
      <c r="C76" s="21">
        <v>58450.931716350497</v>
      </c>
    </row>
    <row r="77" spans="1:3" x14ac:dyDescent="0.3">
      <c r="A77" s="19" t="s">
        <v>988</v>
      </c>
      <c r="B77" s="20">
        <v>1019</v>
      </c>
      <c r="C77" s="21">
        <v>50938.813091265998</v>
      </c>
    </row>
    <row r="78" spans="1:3" x14ac:dyDescent="0.3">
      <c r="A78" s="19" t="s">
        <v>989</v>
      </c>
      <c r="B78" s="20">
        <v>936</v>
      </c>
      <c r="C78" s="21">
        <v>49469.015854700898</v>
      </c>
    </row>
    <row r="79" spans="1:3" x14ac:dyDescent="0.3">
      <c r="A79" s="19" t="s">
        <v>1383</v>
      </c>
      <c r="B79" s="20">
        <v>132</v>
      </c>
      <c r="C79" s="21">
        <v>49819.445984848498</v>
      </c>
    </row>
    <row r="81" spans="1:3" x14ac:dyDescent="0.3">
      <c r="A81" s="17" t="s">
        <v>990</v>
      </c>
      <c r="B81" s="22">
        <v>46352</v>
      </c>
      <c r="C81" s="23">
        <v>57695</v>
      </c>
    </row>
    <row r="82" spans="1:3" x14ac:dyDescent="0.3">
      <c r="A82" s="17"/>
      <c r="B82" s="22"/>
      <c r="C82" s="23"/>
    </row>
    <row r="83" spans="1:3" ht="15" x14ac:dyDescent="0.25">
      <c r="A83" s="24" t="s">
        <v>1384</v>
      </c>
      <c r="B83" s="25"/>
      <c r="C83" s="25"/>
    </row>
    <row r="84" spans="1:3" ht="15" x14ac:dyDescent="0.25">
      <c r="A84" s="26" t="s">
        <v>991</v>
      </c>
      <c r="B84" s="27"/>
      <c r="C84" s="27"/>
    </row>
    <row r="85" spans="1:3" ht="15" x14ac:dyDescent="0.25">
      <c r="A85" s="26" t="s">
        <v>992</v>
      </c>
      <c r="B85" s="27"/>
      <c r="C85" s="27"/>
    </row>
    <row r="86" spans="1:3" ht="15" x14ac:dyDescent="0.25">
      <c r="A86" s="26"/>
      <c r="B86" s="27"/>
      <c r="C86" s="27"/>
    </row>
    <row r="87" spans="1:3" ht="15" x14ac:dyDescent="0.25">
      <c r="A87" s="26" t="s">
        <v>1385</v>
      </c>
      <c r="B87" s="27"/>
      <c r="C87" s="27"/>
    </row>
    <row r="88" spans="1:3" ht="15" x14ac:dyDescent="0.25">
      <c r="A88" s="26" t="s">
        <v>1386</v>
      </c>
      <c r="B88" s="27"/>
      <c r="C88" s="27"/>
    </row>
    <row r="89" spans="1:3" ht="15" x14ac:dyDescent="0.25">
      <c r="A89" s="26" t="s">
        <v>1387</v>
      </c>
      <c r="B89" s="27"/>
      <c r="C89" s="27"/>
    </row>
    <row r="90" spans="1:3" ht="15" x14ac:dyDescent="0.25">
      <c r="A90" s="26"/>
      <c r="B90" s="27"/>
      <c r="C90" s="27"/>
    </row>
    <row r="91" spans="1:3" ht="15.75" x14ac:dyDescent="0.25">
      <c r="A91" s="28" t="s">
        <v>1388</v>
      </c>
      <c r="B91" s="28"/>
      <c r="C91" s="28"/>
    </row>
    <row r="92" spans="1:3" ht="15.75" x14ac:dyDescent="0.25">
      <c r="A92" s="28" t="s">
        <v>1389</v>
      </c>
      <c r="B92" s="28"/>
      <c r="C92" s="28"/>
    </row>
    <row r="93" spans="1:3" ht="15.75" x14ac:dyDescent="0.25">
      <c r="A93" s="28"/>
      <c r="B93" s="28"/>
      <c r="C93" s="28"/>
    </row>
    <row r="94" spans="1:3" ht="15.75" x14ac:dyDescent="0.25">
      <c r="A94" s="28" t="s">
        <v>1390</v>
      </c>
      <c r="B94" s="28"/>
      <c r="C94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FY23 Expenditures</vt:lpstr>
      <vt:lpstr>FY23 Exp Codes </vt:lpstr>
      <vt:lpstr>FY23 Revenues</vt:lpstr>
      <vt:lpstr>FY23 Rev Codes</vt:lpstr>
      <vt:lpstr>FY23 Fund Balance</vt:lpstr>
      <vt:lpstr>FY 23 Teachers and Avg Salary</vt:lpstr>
      <vt:lpstr>DSALARY2023</vt:lpstr>
      <vt:lpstr>'FY23 Exp Codes '!Print_Area</vt:lpstr>
      <vt:lpstr>'FY23 Rev Codes'!Print_Area</vt:lpstr>
      <vt:lpstr>'FY23 Exp Codes '!Print_Titles</vt:lpstr>
      <vt:lpstr>'FY23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2024-10-25T13:20:38Z</dcterms:created>
  <dcterms:modified xsi:type="dcterms:W3CDTF">2024-11-04T14:39:55Z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2024-10-25T13:55:43Z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4390b5fa-b598-4580-80a0-76b5e8d46757</vt:lpwstr>
  </property>
  <property fmtid="{D5CDD505-2E9C-101B-9397-08002B2CF9AE}" pid="8" name="MSIP_Label_1c8b0b85-d75e-4e7c-989b-349f33915dc1_ContentBits">
    <vt:lpwstr>0</vt:lpwstr>
  </property>
</Properties>
</file>